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/>
  <mc:AlternateContent xmlns:mc="http://schemas.openxmlformats.org/markup-compatibility/2006">
    <mc:Choice Requires="x15">
      <x15ac:absPath xmlns:x15ac="http://schemas.microsoft.com/office/spreadsheetml/2010/11/ac" url="https://getcameras.sharepoint.com/sites/Support/Gedeelde documenten/1 Daheng/Frame Rate Calculators/"/>
    </mc:Choice>
  </mc:AlternateContent>
  <xr:revisionPtr revIDLastSave="18" documentId="11_68044960819834D57D5FE6FEC59FD0D1D1B47FC0" xr6:coauthVersionLast="47" xr6:coauthVersionMax="47" xr10:uidLastSave="{94856AF9-320E-42DB-B2AB-03752C260C7A}"/>
  <bookViews>
    <workbookView xWindow="-120" yWindow="-120" windowWidth="29040" windowHeight="15720" tabRatio="797" firstSheet="1" activeTab="6" xr2:uid="{00000000-000D-0000-FFFF-FFFF00000000}"/>
  </bookViews>
  <sheets>
    <sheet name="帧率计算表-slave (基础)" sheetId="57" state="hidden" r:id="rId1"/>
    <sheet name="Revision History" sheetId="64" r:id="rId2"/>
    <sheet name="MARS-15200-16X2" sheetId="59" r:id="rId3"/>
    <sheet name="MARS-10300-24X2" sheetId="66" r:id="rId4"/>
    <sheet name="MARS-6502-71X2、MARS-6503-71X2" sheetId="67" r:id="rId5"/>
    <sheet name="MARS-6500-31X2、MARS-6501-31X2" sheetId="65" r:id="rId6"/>
    <sheet name="MARS-2625-150X2、MARS-2626-150X2" sheetId="68" r:id="rId7"/>
    <sheet name="黑电平" sheetId="47" state="hidden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" i="68" l="1"/>
  <c r="C7" i="68"/>
  <c r="Q43" i="68"/>
  <c r="D44" i="68"/>
  <c r="E44" i="68"/>
  <c r="Q44" i="68"/>
  <c r="Q47" i="68"/>
  <c r="D48" i="68"/>
  <c r="E48" i="68"/>
  <c r="Q48" i="68"/>
  <c r="E49" i="68"/>
  <c r="Q49" i="68"/>
  <c r="Q50" i="68"/>
  <c r="Q51" i="68"/>
  <c r="E52" i="68"/>
  <c r="Q52" i="68"/>
  <c r="Q53" i="68"/>
  <c r="K54" i="68"/>
  <c r="Q54" i="68"/>
  <c r="D57" i="68"/>
  <c r="B2" i="68" s="1"/>
  <c r="E57" i="68"/>
  <c r="Q76" i="68" s="1"/>
  <c r="D58" i="68"/>
  <c r="B3" i="68" s="1"/>
  <c r="C5" i="68" s="1"/>
  <c r="E58" i="68"/>
  <c r="K59" i="68"/>
  <c r="E60" i="68"/>
  <c r="E61" i="68"/>
  <c r="E62" i="68"/>
  <c r="Q78" i="68" s="1"/>
  <c r="E63" i="68"/>
  <c r="K63" i="68"/>
  <c r="E64" i="68"/>
  <c r="E66" i="68"/>
  <c r="D67" i="68"/>
  <c r="E67" i="68"/>
  <c r="K49" i="68" s="1"/>
  <c r="E69" i="68"/>
  <c r="E70" i="68"/>
  <c r="Q71" i="68"/>
  <c r="E72" i="68"/>
  <c r="E73" i="68"/>
  <c r="Q85" i="68"/>
  <c r="C6" i="67"/>
  <c r="C7" i="67"/>
  <c r="Q43" i="67"/>
  <c r="D44" i="67"/>
  <c r="E44" i="67"/>
  <c r="Q44" i="67"/>
  <c r="Q47" i="67"/>
  <c r="Q56" i="67" s="1"/>
  <c r="D48" i="67"/>
  <c r="E48" i="67"/>
  <c r="Q48" i="67"/>
  <c r="E49" i="67"/>
  <c r="X57" i="67" s="1"/>
  <c r="Q49" i="67"/>
  <c r="Q50" i="67"/>
  <c r="Q51" i="67"/>
  <c r="E52" i="67"/>
  <c r="K59" i="67" s="1"/>
  <c r="Q52" i="67"/>
  <c r="Q53" i="67"/>
  <c r="K54" i="67"/>
  <c r="Q54" i="67"/>
  <c r="D57" i="67"/>
  <c r="B2" i="67" s="1"/>
  <c r="E57" i="67"/>
  <c r="Q76" i="67" s="1"/>
  <c r="Q77" i="67" s="1"/>
  <c r="D58" i="67"/>
  <c r="B3" i="67" s="1"/>
  <c r="C5" i="67" s="1"/>
  <c r="E58" i="67"/>
  <c r="E60" i="67"/>
  <c r="E61" i="67"/>
  <c r="X74" i="67" s="1"/>
  <c r="E62" i="67"/>
  <c r="E63" i="67"/>
  <c r="K63" i="67"/>
  <c r="E64" i="67"/>
  <c r="X64" i="67"/>
  <c r="E66" i="67"/>
  <c r="D67" i="67"/>
  <c r="E67" i="67"/>
  <c r="E69" i="67"/>
  <c r="E70" i="67"/>
  <c r="Q71" i="67"/>
  <c r="E72" i="67"/>
  <c r="E73" i="67"/>
  <c r="Q57" i="67" s="1"/>
  <c r="X75" i="67"/>
  <c r="Q78" i="67"/>
  <c r="Q85" i="67"/>
  <c r="Q86" i="67"/>
  <c r="Q85" i="66"/>
  <c r="X75" i="66"/>
  <c r="E73" i="66"/>
  <c r="E72" i="66"/>
  <c r="Q71" i="66"/>
  <c r="E70" i="66"/>
  <c r="E69" i="66"/>
  <c r="E67" i="66"/>
  <c r="D67" i="66"/>
  <c r="E66" i="66"/>
  <c r="K49" i="66" s="1"/>
  <c r="X64" i="66"/>
  <c r="E64" i="66"/>
  <c r="E63" i="66"/>
  <c r="E62" i="66"/>
  <c r="E61" i="66"/>
  <c r="Q86" i="66" s="1"/>
  <c r="E60" i="66"/>
  <c r="E58" i="66"/>
  <c r="D58" i="66"/>
  <c r="B3" i="66" s="1"/>
  <c r="E57" i="66"/>
  <c r="D57" i="66"/>
  <c r="B2" i="66" s="1"/>
  <c r="Q54" i="66"/>
  <c r="Q53" i="66"/>
  <c r="Q52" i="66"/>
  <c r="E52" i="66"/>
  <c r="K59" i="66" s="1"/>
  <c r="Q51" i="66"/>
  <c r="Q50" i="66"/>
  <c r="Q49" i="66"/>
  <c r="E49" i="66"/>
  <c r="X57" i="66" s="1"/>
  <c r="Q48" i="66"/>
  <c r="E48" i="66"/>
  <c r="D48" i="66"/>
  <c r="Q47" i="66"/>
  <c r="Q44" i="66"/>
  <c r="E44" i="66"/>
  <c r="Q76" i="66" s="1"/>
  <c r="X68" i="66" s="1"/>
  <c r="D44" i="66"/>
  <c r="Q43" i="66"/>
  <c r="Q85" i="65"/>
  <c r="X75" i="65"/>
  <c r="E73" i="65"/>
  <c r="E72" i="65"/>
  <c r="Q71" i="65"/>
  <c r="E70" i="65"/>
  <c r="E69" i="65"/>
  <c r="E67" i="65"/>
  <c r="D67" i="65"/>
  <c r="E66" i="65"/>
  <c r="E64" i="65"/>
  <c r="E63" i="65"/>
  <c r="E62" i="65"/>
  <c r="Q78" i="65" s="1"/>
  <c r="E61" i="65"/>
  <c r="Q86" i="65" s="1"/>
  <c r="E60" i="65"/>
  <c r="E58" i="65"/>
  <c r="D58" i="65"/>
  <c r="B3" i="65" s="1"/>
  <c r="X57" i="65"/>
  <c r="E57" i="65"/>
  <c r="Q76" i="65" s="1"/>
  <c r="D57" i="65"/>
  <c r="Q54" i="65"/>
  <c r="Q53" i="65"/>
  <c r="Q52" i="65"/>
  <c r="E52" i="65"/>
  <c r="K58" i="65" s="1"/>
  <c r="Q51" i="65"/>
  <c r="Q50" i="65"/>
  <c r="Q49" i="65"/>
  <c r="K49" i="65"/>
  <c r="E49" i="65"/>
  <c r="K54" i="65" s="1"/>
  <c r="Q48" i="65"/>
  <c r="E48" i="65"/>
  <c r="D48" i="65"/>
  <c r="Q47" i="65"/>
  <c r="Q44" i="65"/>
  <c r="E44" i="65"/>
  <c r="D44" i="65"/>
  <c r="Q43" i="65"/>
  <c r="C7" i="65"/>
  <c r="C6" i="65"/>
  <c r="B2" i="65"/>
  <c r="C4" i="65" s="1"/>
  <c r="Q85" i="59"/>
  <c r="X75" i="59"/>
  <c r="E73" i="59"/>
  <c r="E72" i="59"/>
  <c r="Q71" i="59"/>
  <c r="E70" i="59"/>
  <c r="E69" i="59"/>
  <c r="E67" i="59"/>
  <c r="K49" i="59" s="1"/>
  <c r="D67" i="59"/>
  <c r="E66" i="59"/>
  <c r="E64" i="59"/>
  <c r="E63" i="59"/>
  <c r="E62" i="59"/>
  <c r="Q78" i="59" s="1"/>
  <c r="E61" i="59"/>
  <c r="E60" i="59"/>
  <c r="K59" i="59"/>
  <c r="E58" i="59"/>
  <c r="D58" i="59"/>
  <c r="B3" i="59" s="1"/>
  <c r="C5" i="59" s="1"/>
  <c r="E57" i="59"/>
  <c r="D57" i="59"/>
  <c r="B2" i="59" s="1"/>
  <c r="Q54" i="59"/>
  <c r="Q53" i="59"/>
  <c r="Q52" i="59"/>
  <c r="E52" i="59"/>
  <c r="K58" i="59" s="1"/>
  <c r="Q51" i="59"/>
  <c r="Q50" i="59"/>
  <c r="Q49" i="59"/>
  <c r="E49" i="59"/>
  <c r="K54" i="59" s="1"/>
  <c r="Q48" i="59"/>
  <c r="E48" i="59"/>
  <c r="D48" i="59"/>
  <c r="Q47" i="59"/>
  <c r="Q44" i="59"/>
  <c r="E44" i="59"/>
  <c r="D44" i="59"/>
  <c r="Q43" i="59"/>
  <c r="C7" i="59"/>
  <c r="C6" i="59"/>
  <c r="U25" i="57"/>
  <c r="U24" i="57"/>
  <c r="X23" i="57"/>
  <c r="Y23" i="57" s="1"/>
  <c r="U23" i="57"/>
  <c r="X22" i="57"/>
  <c r="Y22" i="57" s="1"/>
  <c r="U22" i="57"/>
  <c r="B20" i="57"/>
  <c r="A20" i="57"/>
  <c r="P17" i="57"/>
  <c r="P18" i="57" s="1"/>
  <c r="P19" i="57" s="1"/>
  <c r="J12" i="57" s="1"/>
  <c r="J17" i="57"/>
  <c r="P16" i="57"/>
  <c r="J11" i="57"/>
  <c r="P9" i="57"/>
  <c r="P8" i="57"/>
  <c r="P5" i="57"/>
  <c r="P23" i="57" s="1"/>
  <c r="AW4" i="57"/>
  <c r="P6" i="57" s="1"/>
  <c r="J5" i="57" s="1"/>
  <c r="Q77" i="68" l="1"/>
  <c r="Q79" i="68" s="1"/>
  <c r="K63" i="59"/>
  <c r="X74" i="65"/>
  <c r="K58" i="66"/>
  <c r="X74" i="66"/>
  <c r="Q56" i="68"/>
  <c r="AF43" i="68" s="1"/>
  <c r="Q76" i="59"/>
  <c r="X68" i="59" s="1"/>
  <c r="X57" i="59"/>
  <c r="Q56" i="59"/>
  <c r="Q57" i="59" s="1"/>
  <c r="Q78" i="66"/>
  <c r="X64" i="59"/>
  <c r="Q86" i="68"/>
  <c r="X74" i="59"/>
  <c r="Q86" i="59"/>
  <c r="K49" i="67"/>
  <c r="C4" i="68"/>
  <c r="H32" i="68"/>
  <c r="C23" i="68" s="1"/>
  <c r="K53" i="68"/>
  <c r="K58" i="68"/>
  <c r="Q79" i="67"/>
  <c r="Q80" i="67" s="1"/>
  <c r="X69" i="67"/>
  <c r="X70" i="67"/>
  <c r="AF44" i="67"/>
  <c r="Q45" i="67" s="1"/>
  <c r="AF43" i="67"/>
  <c r="AF45" i="67"/>
  <c r="C4" i="67"/>
  <c r="H32" i="67"/>
  <c r="C23" i="67" s="1"/>
  <c r="K53" i="67"/>
  <c r="X58" i="67" s="1"/>
  <c r="AF42" i="67"/>
  <c r="X71" i="67"/>
  <c r="K58" i="67"/>
  <c r="X68" i="67"/>
  <c r="X71" i="66"/>
  <c r="X68" i="65"/>
  <c r="C5" i="65"/>
  <c r="H32" i="65"/>
  <c r="C23" i="65" s="1"/>
  <c r="AM4" i="57"/>
  <c r="P7" i="57" s="1"/>
  <c r="P27" i="57" s="1"/>
  <c r="P22" i="57"/>
  <c r="Q77" i="59"/>
  <c r="X71" i="65"/>
  <c r="C4" i="59"/>
  <c r="H32" i="59"/>
  <c r="C23" i="59" s="1"/>
  <c r="AF43" i="66"/>
  <c r="X71" i="59"/>
  <c r="K54" i="66"/>
  <c r="Q77" i="66"/>
  <c r="K63" i="65"/>
  <c r="Q56" i="66"/>
  <c r="AF45" i="66" s="1"/>
  <c r="K53" i="65"/>
  <c r="X58" i="65" s="1"/>
  <c r="K59" i="65"/>
  <c r="K53" i="59"/>
  <c r="X58" i="59" s="1"/>
  <c r="X64" i="65"/>
  <c r="Q77" i="65"/>
  <c r="Q79" i="65" s="1"/>
  <c r="AF42" i="66"/>
  <c r="Q56" i="65"/>
  <c r="Q57" i="65" s="1"/>
  <c r="AF46" i="66"/>
  <c r="Q45" i="66" s="1"/>
  <c r="K63" i="66"/>
  <c r="K53" i="66"/>
  <c r="X58" i="66" s="1"/>
  <c r="AF42" i="68" l="1"/>
  <c r="Q45" i="68" s="1"/>
  <c r="AF44" i="68"/>
  <c r="Q57" i="68"/>
  <c r="AF43" i="59"/>
  <c r="Q45" i="59" s="1"/>
  <c r="AF44" i="59"/>
  <c r="AF42" i="59"/>
  <c r="AF45" i="68"/>
  <c r="AF44" i="66"/>
  <c r="AF45" i="59"/>
  <c r="Q80" i="68"/>
  <c r="Q81" i="68" s="1"/>
  <c r="Q83" i="68" s="1"/>
  <c r="Q81" i="67"/>
  <c r="Q83" i="67" s="1"/>
  <c r="X73" i="67"/>
  <c r="Q82" i="67"/>
  <c r="X72" i="67"/>
  <c r="X70" i="66"/>
  <c r="X69" i="66"/>
  <c r="AF43" i="65"/>
  <c r="AF42" i="65"/>
  <c r="AF45" i="65"/>
  <c r="Q45" i="65" s="1"/>
  <c r="X70" i="59"/>
  <c r="X69" i="59"/>
  <c r="X69" i="65"/>
  <c r="X70" i="65"/>
  <c r="J10" i="57"/>
  <c r="P39" i="57" s="1"/>
  <c r="Q79" i="66"/>
  <c r="X72" i="65"/>
  <c r="Q79" i="59"/>
  <c r="AF44" i="65"/>
  <c r="Q80" i="65"/>
  <c r="P26" i="57"/>
  <c r="D47" i="66"/>
  <c r="Q57" i="66"/>
  <c r="Q82" i="68" l="1"/>
  <c r="Q87" i="67"/>
  <c r="K50" i="67" s="1"/>
  <c r="Q84" i="67"/>
  <c r="Q88" i="67" s="1"/>
  <c r="K51" i="67" s="1"/>
  <c r="Q58" i="67" s="1"/>
  <c r="Q59" i="67" s="1"/>
  <c r="Q60" i="67" s="1"/>
  <c r="P41" i="57"/>
  <c r="P40" i="57"/>
  <c r="P44" i="57" s="1"/>
  <c r="X72" i="66"/>
  <c r="Q81" i="65"/>
  <c r="X73" i="65"/>
  <c r="X72" i="59"/>
  <c r="Q80" i="59"/>
  <c r="Q80" i="66"/>
  <c r="P24" i="57"/>
  <c r="Q84" i="68" l="1"/>
  <c r="Q88" i="68" s="1"/>
  <c r="K51" i="68" s="1"/>
  <c r="Q58" i="68" s="1"/>
  <c r="Q59" i="68" s="1"/>
  <c r="Q60" i="68" s="1"/>
  <c r="Q87" i="68"/>
  <c r="K50" i="68" s="1"/>
  <c r="Q61" i="67"/>
  <c r="P31" i="57"/>
  <c r="P30" i="57"/>
  <c r="P25" i="57" s="1"/>
  <c r="P12" i="57" s="1"/>
  <c r="X73" i="59"/>
  <c r="Q81" i="59"/>
  <c r="X73" i="66"/>
  <c r="Q81" i="66"/>
  <c r="Q83" i="65"/>
  <c r="Q82" i="65"/>
  <c r="P42" i="57"/>
  <c r="Q61" i="68" l="1"/>
  <c r="K43" i="67"/>
  <c r="K64" i="67"/>
  <c r="AG43" i="67"/>
  <c r="AG45" i="67"/>
  <c r="AG42" i="67"/>
  <c r="AG44" i="67"/>
  <c r="Q46" i="67" s="1"/>
  <c r="Q62" i="67" s="1"/>
  <c r="K47" i="67" s="1"/>
  <c r="Q83" i="66"/>
  <c r="Q82" i="66"/>
  <c r="Q84" i="65"/>
  <c r="Q88" i="65" s="1"/>
  <c r="K51" i="65" s="1"/>
  <c r="Q58" i="65" s="1"/>
  <c r="Q59" i="65" s="1"/>
  <c r="Q60" i="65" s="1"/>
  <c r="Q87" i="65"/>
  <c r="K50" i="65" s="1"/>
  <c r="Q83" i="59"/>
  <c r="Q82" i="59"/>
  <c r="P43" i="57"/>
  <c r="J9" i="57"/>
  <c r="P32" i="57"/>
  <c r="K43" i="68" l="1"/>
  <c r="K64" i="68"/>
  <c r="AG43" i="68"/>
  <c r="AG45" i="68"/>
  <c r="AG42" i="68"/>
  <c r="Q46" i="68" s="1"/>
  <c r="Q62" i="68" s="1"/>
  <c r="K47" i="68" s="1"/>
  <c r="AG44" i="68"/>
  <c r="D47" i="67"/>
  <c r="B47" i="67" s="1"/>
  <c r="X59" i="67"/>
  <c r="X63" i="67"/>
  <c r="K48" i="67"/>
  <c r="X60" i="67" s="1"/>
  <c r="J6" i="57"/>
  <c r="S35" i="57"/>
  <c r="P33" i="57"/>
  <c r="X25" i="57"/>
  <c r="Y25" i="57" s="1"/>
  <c r="J18" i="57"/>
  <c r="Q87" i="59"/>
  <c r="K50" i="59" s="1"/>
  <c r="Q84" i="59"/>
  <c r="Q88" i="59" s="1"/>
  <c r="K51" i="59" s="1"/>
  <c r="Q58" i="59" s="1"/>
  <c r="Q59" i="59" s="1"/>
  <c r="Q60" i="59" s="1"/>
  <c r="Q87" i="66"/>
  <c r="K50" i="66" s="1"/>
  <c r="Q84" i="66"/>
  <c r="Q88" i="66" s="1"/>
  <c r="K51" i="66" s="1"/>
  <c r="Q58" i="66" s="1"/>
  <c r="Q59" i="66" s="1"/>
  <c r="Q60" i="66" s="1"/>
  <c r="Q61" i="65"/>
  <c r="AG43" i="65" s="1"/>
  <c r="D47" i="68" l="1"/>
  <c r="B47" i="68" s="1"/>
  <c r="K48" i="68"/>
  <c r="K55" i="68" s="1"/>
  <c r="K56" i="68" s="1"/>
  <c r="K44" i="68" s="1"/>
  <c r="K45" i="68" s="1"/>
  <c r="K55" i="67"/>
  <c r="K56" i="67" s="1"/>
  <c r="K44" i="67" s="1"/>
  <c r="K45" i="67" s="1"/>
  <c r="X61" i="67"/>
  <c r="X62" i="67"/>
  <c r="AG42" i="65"/>
  <c r="Q61" i="66"/>
  <c r="AG42" i="66" s="1"/>
  <c r="K43" i="65"/>
  <c r="K64" i="65"/>
  <c r="AG45" i="65"/>
  <c r="Q46" i="65" s="1"/>
  <c r="Q62" i="65" s="1"/>
  <c r="K47" i="65" s="1"/>
  <c r="AG44" i="65"/>
  <c r="Q61" i="59"/>
  <c r="AG42" i="59" s="1"/>
  <c r="X24" i="57"/>
  <c r="Y24" i="57" s="1"/>
  <c r="J7" i="57"/>
  <c r="AG45" i="59" l="1"/>
  <c r="AG43" i="59"/>
  <c r="Q46" i="59" s="1"/>
  <c r="Q62" i="59" s="1"/>
  <c r="K47" i="59" s="1"/>
  <c r="AG44" i="59"/>
  <c r="K62" i="68"/>
  <c r="E78" i="68"/>
  <c r="B23" i="68"/>
  <c r="K61" i="68"/>
  <c r="E78" i="67"/>
  <c r="K61" i="67"/>
  <c r="B23" i="67"/>
  <c r="K62" i="67"/>
  <c r="X59" i="65"/>
  <c r="D47" i="65"/>
  <c r="B47" i="65" s="1"/>
  <c r="AG44" i="66"/>
  <c r="K43" i="66"/>
  <c r="K64" i="66"/>
  <c r="B47" i="66"/>
  <c r="AG46" i="66"/>
  <c r="Q46" i="66" s="1"/>
  <c r="Q62" i="66" s="1"/>
  <c r="K47" i="66" s="1"/>
  <c r="AG43" i="66"/>
  <c r="X63" i="65"/>
  <c r="K48" i="65"/>
  <c r="X61" i="65" s="1"/>
  <c r="AG45" i="66"/>
  <c r="J20" i="57"/>
  <c r="J19" i="57"/>
  <c r="K43" i="59"/>
  <c r="K64" i="59"/>
  <c r="X59" i="66" l="1"/>
  <c r="K48" i="66"/>
  <c r="K55" i="66" s="1"/>
  <c r="K56" i="66" s="1"/>
  <c r="X63" i="66"/>
  <c r="X62" i="65"/>
  <c r="K55" i="65"/>
  <c r="K56" i="65" s="1"/>
  <c r="K44" i="65" s="1"/>
  <c r="K45" i="65" s="1"/>
  <c r="X59" i="59"/>
  <c r="D47" i="59"/>
  <c r="B47" i="59" s="1"/>
  <c r="K48" i="59"/>
  <c r="X61" i="59" s="1"/>
  <c r="X63" i="59"/>
  <c r="X60" i="65"/>
  <c r="X60" i="59" l="1"/>
  <c r="X62" i="59"/>
  <c r="K61" i="65"/>
  <c r="E78" i="65"/>
  <c r="K62" i="65"/>
  <c r="B23" i="65"/>
  <c r="X60" i="66"/>
  <c r="X61" i="66"/>
  <c r="K44" i="66"/>
  <c r="K45" i="66" s="1"/>
  <c r="K55" i="59"/>
  <c r="K56" i="59" s="1"/>
  <c r="K44" i="59" s="1"/>
  <c r="K45" i="59" s="1"/>
  <c r="X62" i="66"/>
  <c r="K61" i="59" l="1"/>
  <c r="E78" i="59"/>
  <c r="B23" i="59"/>
  <c r="K62" i="59"/>
  <c r="K62" i="66"/>
  <c r="B23" i="66"/>
  <c r="K61" i="66"/>
  <c r="E78" i="66"/>
</calcChain>
</file>

<file path=xl/sharedStrings.xml><?xml version="1.0" encoding="utf-8"?>
<sst xmlns="http://schemas.openxmlformats.org/spreadsheetml/2006/main" count="2827" uniqueCount="595">
  <si>
    <t>camera_model</t>
  </si>
  <si>
    <t>相机型号</t>
  </si>
  <si>
    <t>ME2P-2621-15U3x</t>
  </si>
  <si>
    <t>计算结果</t>
  </si>
  <si>
    <t>计算过程</t>
  </si>
  <si>
    <t>映射关系表（绝大多数应用于本表格的公式计算，还有一些关联fpga工程中的宏定义）</t>
  </si>
  <si>
    <t>Python2k</t>
  </si>
  <si>
    <t>帧率</t>
  </si>
  <si>
    <t>固定参数（每款sensor值不一样，需要提取成宏）</t>
  </si>
  <si>
    <t>1.camera_model</t>
  </si>
  <si>
    <t>2.sensor</t>
  </si>
  <si>
    <t xml:space="preserve">3.Master Clock </t>
  </si>
  <si>
    <t>4.channel_num</t>
  </si>
  <si>
    <t>5.kernel</t>
  </si>
  <si>
    <t>6.sensor data width</t>
  </si>
  <si>
    <t>7.x_start</t>
  </si>
  <si>
    <t>8.x_end</t>
  </si>
  <si>
    <t>9.y_start</t>
  </si>
  <si>
    <t>10.y_end</t>
  </si>
  <si>
    <t>11.ROT</t>
  </si>
  <si>
    <t>12.sensor_width_min</t>
  </si>
  <si>
    <t>13.sensor_height_min</t>
  </si>
  <si>
    <t>14.sensor_width_max</t>
  </si>
  <si>
    <t>15.sensor_height_max</t>
  </si>
  <si>
    <t>16.black_lines</t>
  </si>
  <si>
    <t>17.dummy_lines</t>
  </si>
  <si>
    <t>18.dummy_lines_bf_exp</t>
  </si>
  <si>
    <t>19.rot_img</t>
  </si>
  <si>
    <t>20.rot_bl</t>
  </si>
  <si>
    <t>21.fot</t>
  </si>
  <si>
    <t>22.fot_int</t>
  </si>
  <si>
    <t>23.xsm_delay_register
(十六进制)</t>
  </si>
  <si>
    <t>24.xms_delay_offset0</t>
  </si>
  <si>
    <t>25.xms_delay_offset1</t>
  </si>
  <si>
    <t>26.port</t>
  </si>
  <si>
    <t>27.ExposureTime</t>
  </si>
  <si>
    <t>28.pix_clk</t>
  </si>
  <si>
    <t>29.readout_exp_margin</t>
  </si>
  <si>
    <t>30.fl_offset_zrot</t>
  </si>
  <si>
    <t>31.LINE_U_LENGTH</t>
  </si>
  <si>
    <t>参数</t>
  </si>
  <si>
    <t>描述</t>
  </si>
  <si>
    <t>默认值</t>
  </si>
  <si>
    <t>用户值
dec</t>
  </si>
  <si>
    <t>公式</t>
  </si>
  <si>
    <t>计算值</t>
  </si>
  <si>
    <t>单位</t>
  </si>
  <si>
    <t>推算值
dec</t>
  </si>
  <si>
    <t>gmax0505</t>
  </si>
  <si>
    <t>4B00</t>
  </si>
  <si>
    <t>U3</t>
  </si>
  <si>
    <t>像素格式</t>
  </si>
  <si>
    <t>img_row_time</t>
  </si>
  <si>
    <t>图像行周期NROT</t>
  </si>
  <si>
    <t>48*LINE_U_LENGTH/(clk_pix*Nchan)*1000</t>
  </si>
  <si>
    <t>ns</t>
  </si>
  <si>
    <t>freq_pix_clk</t>
  </si>
  <si>
    <t>像素时钟频率</t>
  </si>
  <si>
    <t>参见映射关系表</t>
  </si>
  <si>
    <t>MHz</t>
  </si>
  <si>
    <t>pixel_format</t>
  </si>
  <si>
    <t>frame_time</t>
  </si>
  <si>
    <t>帧周期</t>
  </si>
  <si>
    <t>risky_exp=0:
IF(max(readout_period_time,exp_period_time,tp_limit_period_time,fps_limit_period_time)=exp_period_time,exp_period_time+1,(max(readout_period_time,exp_period_time,tp_limit_period_time,fps_limit_period_time)))
risky_exp=1:
risky_frame_time</t>
  </si>
  <si>
    <t>us</t>
  </si>
  <si>
    <t>LINE_U_LENGTH</t>
  </si>
  <si>
    <t>-</t>
  </si>
  <si>
    <t>曝光时间</t>
  </si>
  <si>
    <t>frame_freq</t>
  </si>
  <si>
    <t>1000000/frame_time</t>
  </si>
  <si>
    <t>fps</t>
  </si>
  <si>
    <t>fot</t>
  </si>
  <si>
    <t>FOT时间</t>
  </si>
  <si>
    <t>exp_time</t>
  </si>
  <si>
    <t>决定帧周期的四个变量</t>
  </si>
  <si>
    <t>channel_num</t>
  </si>
  <si>
    <t>Sensor通道数</t>
  </si>
  <si>
    <t>exp_delay</t>
  </si>
  <si>
    <t>曝光延迟</t>
  </si>
  <si>
    <t>readout_period_time</t>
  </si>
  <si>
    <t>读出时间决定的帧周期</t>
  </si>
  <si>
    <t>IF(risky_exp1=1,risky_frame_time1,IF(line_stop=1,line_stop_frame_time,period_time))</t>
  </si>
  <si>
    <t>bandwidth_max</t>
  </si>
  <si>
    <t>前端带宽最大值
指Sensor输出的最大带宽，通常用这个参数限制最大窗口下的帧率</t>
  </si>
  <si>
    <t>10-GIGE:12500
GIGE:1250
U3:3950</t>
  </si>
  <si>
    <t>MByte/10s</t>
  </si>
  <si>
    <t>触发延时</t>
  </si>
  <si>
    <t>exp_period_time</t>
  </si>
  <si>
    <t>曝光时间决定的帧周期</t>
  </si>
  <si>
    <t>roundup(ExposureTime+Tfot)</t>
  </si>
  <si>
    <t>中间变量（程序内部计算使用）</t>
  </si>
  <si>
    <t>trig_delay</t>
  </si>
  <si>
    <t>触发延迟</t>
  </si>
  <si>
    <t>fps_limit_period_time</t>
  </si>
  <si>
    <t>帧率限制帧周期</t>
  </si>
  <si>
    <t>ROUNDUP((1000000/fps_limit_value)*fps_limit,0)</t>
  </si>
  <si>
    <t>ROI设置</t>
  </si>
  <si>
    <t>tp_limit_period_time</t>
  </si>
  <si>
    <t>带宽限制帧周期</t>
  </si>
  <si>
    <t>frame_size*1000/tp_limit_value
U3:
1000/frame_time_u3
GIGE:
1000/frame_time_gige</t>
  </si>
  <si>
    <t>image_line_time</t>
  </si>
  <si>
    <t>图像行时间</t>
  </si>
  <si>
    <t>ROUND(IF(AND(line_stop=1=1,line_stop1=1),(pic_height+6)*img_row_time,pic_height*img_row_time)/1000,0)</t>
  </si>
  <si>
    <t>RegionSelector</t>
  </si>
  <si>
    <t>ROI0</t>
  </si>
  <si>
    <t>其他</t>
  </si>
  <si>
    <t>帧周期参数-U3</t>
  </si>
  <si>
    <t>RegionMode</t>
  </si>
  <si>
    <t>On</t>
  </si>
  <si>
    <t>trig_to_strobe</t>
  </si>
  <si>
    <t>从触发到闪光灯的时间</t>
  </si>
  <si>
    <t>offset_x</t>
  </si>
  <si>
    <t>时间戳差值</t>
  </si>
  <si>
    <t>时间戳差值的范围</t>
  </si>
  <si>
    <t>leader size</t>
  </si>
  <si>
    <t>leader长度</t>
  </si>
  <si>
    <t>byte</t>
  </si>
  <si>
    <t>offset_y</t>
  </si>
  <si>
    <t>时间戳差值最大值</t>
  </si>
  <si>
    <t>时间戳差值的最大值</t>
  </si>
  <si>
    <t>trailer size</t>
  </si>
  <si>
    <t>trailer长度</t>
  </si>
  <si>
    <t>if(chunk_mode_active=1,36,32)</t>
  </si>
  <si>
    <t>pic_width</t>
  </si>
  <si>
    <t>strobe_time</t>
  </si>
  <si>
    <t>闪光灯维持时间</t>
  </si>
  <si>
    <t>if(exp_time&gt;100us,exp_time,100us)</t>
  </si>
  <si>
    <t>image_size</t>
  </si>
  <si>
    <t>传输图像大小</t>
  </si>
  <si>
    <t>H*W*n*m，
if pixel format = 8bit，n=1，else n=2</t>
  </si>
  <si>
    <t>pic_height</t>
  </si>
  <si>
    <t>trig_to_frame_max</t>
  </si>
  <si>
    <t>从触发到得图的最大时间</t>
  </si>
  <si>
    <t>trig_delay+exp_time+FOT+readout_time+img_row_time</t>
  </si>
  <si>
    <t>frame_size</t>
  </si>
  <si>
    <t>传输图像尺寸</t>
  </si>
  <si>
    <t>leader_size+trailer_size+image_size size+(8+16*chunkid_en_ts+16*chunkid_en_fid)*chunk_mode_active</t>
  </si>
  <si>
    <t>chunk</t>
  </si>
  <si>
    <t>U3 Transmission bandwidth</t>
  </si>
  <si>
    <t>U3传输带宽</t>
  </si>
  <si>
    <t>frame_freq*frame_size/1000000</t>
  </si>
  <si>
    <t>MByte/s</t>
  </si>
  <si>
    <t>tp_limit_period_time_u3</t>
  </si>
  <si>
    <r>
      <rPr>
        <sz val="11"/>
        <color theme="1"/>
        <rFont val="Calibri"/>
        <family val="3"/>
        <charset val="134"/>
        <scheme val="minor"/>
      </rPr>
      <t>roundup(max((frame_size*1000000/tp_limit_value)*tp_limit,(frame_size*</t>
    </r>
    <r>
      <rPr>
        <sz val="11"/>
        <color rgb="FFFF0000"/>
        <rFont val="Calibri"/>
        <family val="3"/>
        <charset val="134"/>
        <scheme val="minor"/>
      </rPr>
      <t>10</t>
    </r>
    <r>
      <rPr>
        <sz val="11"/>
        <color theme="1"/>
        <rFont val="Calibri"/>
        <family val="3"/>
        <charset val="134"/>
        <scheme val="minor"/>
      </rPr>
      <t>/bandwidth_max),0)</t>
    </r>
  </si>
  <si>
    <t>Tpsensor</t>
  </si>
  <si>
    <t>Sensor带宽
(Throughput Sensor)</t>
  </si>
  <si>
    <t>12*FPS*H*W/1000000</t>
  </si>
  <si>
    <t>Mbit/s</t>
  </si>
  <si>
    <t>行暂停参数</t>
  </si>
  <si>
    <t>FPGA寄存器-U3</t>
  </si>
  <si>
    <t>chunkid_en_fid</t>
  </si>
  <si>
    <t>frameid开关</t>
  </si>
  <si>
    <t>寄存器</t>
  </si>
  <si>
    <t>地址dec</t>
  </si>
  <si>
    <t>地址hex</t>
  </si>
  <si>
    <t>推算值
hex</t>
  </si>
  <si>
    <t>chunk_mode_active</t>
  </si>
  <si>
    <t>chunk开关</t>
  </si>
  <si>
    <t>Exposure_start_delay</t>
  </si>
  <si>
    <t>曝光起始延时</t>
  </si>
  <si>
    <t>2*img_row_time</t>
  </si>
  <si>
    <t>python_exposure_delay</t>
  </si>
  <si>
    <t>Python系列相机曝光延时，仅用于配合闪光灯补光使用。单位是us。</t>
  </si>
  <si>
    <t>带宽控制-U3</t>
  </si>
  <si>
    <t>Exposure_end_delay</t>
  </si>
  <si>
    <t>曝光结束延时</t>
  </si>
  <si>
    <t>636/freq_pix_clk*1000</t>
  </si>
  <si>
    <t>python_exposure_time</t>
  </si>
  <si>
    <t>Sony CMOS系列相机从模式曝光时间。单位是us。
由两个寄存器拼接成32位</t>
  </si>
  <si>
    <t>tp_limit</t>
  </si>
  <si>
    <t>带宽控制开关</t>
  </si>
  <si>
    <t>Exposure_edge</t>
  </si>
  <si>
    <t>交叠曝光临界点</t>
  </si>
  <si>
    <t>ROUNDUP(((MAX(readout_period_time,fps_limit_period_time,tp_limit_period_time))-(image_line_time+fot-Exposure_start_delay+Exposure_end_delay)/1000),0)</t>
  </si>
  <si>
    <t>python_trigger_interval</t>
  </si>
  <si>
    <t>Sony CMOS系列相机从模式触发间隔，表示帧周期，单位是us。 
由两个寄存器拼接成32位</t>
  </si>
  <si>
    <t>tp_limit_value</t>
  </si>
  <si>
    <t>带宽控制值</t>
  </si>
  <si>
    <t>line_stop</t>
  </si>
  <si>
    <t>行暂停</t>
  </si>
  <si>
    <t xml:space="preserve">IF(exp_time&lt;risky_duration1,0,1)
</t>
  </si>
  <si>
    <t>python_readout_time</t>
  </si>
  <si>
    <t>Python系列相机读出时间，表示图像传输时间，单位是us。
由两个寄存器拼接成32位</t>
  </si>
  <si>
    <t>帧率控制</t>
  </si>
  <si>
    <t>line_stop_frame_time</t>
  </si>
  <si>
    <t>行暂停帧周期</t>
  </si>
  <si>
    <t>ROUNDUP((pic_height+20)*img_row_time+fot,0)</t>
  </si>
  <si>
    <t>fps_limit</t>
  </si>
  <si>
    <t>帧率控制开关</t>
  </si>
  <si>
    <t>period_time</t>
  </si>
  <si>
    <t>普通帧周期</t>
  </si>
  <si>
    <t>ROUNDUP((pic_height+14)*img_row_time+fot,0)</t>
  </si>
  <si>
    <t>fps_limit_value</t>
  </si>
  <si>
    <t>帧率控制值</t>
  </si>
  <si>
    <t>risky_duration参数</t>
  </si>
  <si>
    <t>risky_duration1</t>
  </si>
  <si>
    <t>风险区间临界点1</t>
  </si>
  <si>
    <t>ROUNDUP(Exposure_edge+4*img_row_time,0)</t>
  </si>
  <si>
    <t>risky_duration2</t>
  </si>
  <si>
    <t>风险区间临界点2</t>
  </si>
  <si>
    <t>ROUNDUP(Exposure_edge-2*img_row_time,0)</t>
  </si>
  <si>
    <t>risky_exp</t>
  </si>
  <si>
    <t>风险期曝光</t>
  </si>
  <si>
    <t>IF(risky_duration2&lt;=exp_time&lt;=risky_duration1,1,2)</t>
  </si>
  <si>
    <t>risky_frame_time</t>
  </si>
  <si>
    <t>风险期帧周期</t>
  </si>
  <si>
    <t>IF(risky_exp=1,(IF(max(readout_period_time,exp_period_time,tp_limit_period_time,fps_limit_period_time)=exp_period_time,0,max(readout_period_time,tp_limit_period_time,fps_limit_period_time)+exp_time-risky_duration2)),0)</t>
  </si>
  <si>
    <t>行暂停迭代</t>
  </si>
  <si>
    <t>Exposure_edge1</t>
  </si>
  <si>
    <t>迭代后交叠曝光临界点</t>
  </si>
  <si>
    <t>risky_duration1_1</t>
  </si>
  <si>
    <t>迭代后风险区间临界点</t>
  </si>
  <si>
    <t>ROUNDUP(Exposure_edge1+4*img_row_time,0)</t>
  </si>
  <si>
    <t>risky_duration1_2</t>
  </si>
  <si>
    <t>迭代后风险区间临界点2</t>
  </si>
  <si>
    <t>ROUNDUP(Exposure_edge1-2*img_row_time,0)</t>
  </si>
  <si>
    <t>risky_exp1</t>
  </si>
  <si>
    <t>迭代后风险期曝光</t>
  </si>
  <si>
    <t>IF(risky_duration1_2&lt;=exp_time&lt;=risky_duration1_1,1,2)</t>
  </si>
  <si>
    <t>risky_frame_time1</t>
  </si>
  <si>
    <t>迭代后风险期帧周期</t>
  </si>
  <si>
    <t>IF(risky_exp1=1,(line_stop_frame_time+exp_time-risky_duration1_2),0)</t>
  </si>
  <si>
    <t>line_stop1</t>
  </si>
  <si>
    <t>迭代后行暂停</t>
  </si>
  <si>
    <t xml:space="preserve">IF(exp_time&lt;risky_duration1_1,0,1)
</t>
  </si>
  <si>
    <t>Version</t>
  </si>
  <si>
    <t>Revision</t>
  </si>
  <si>
    <t>Date</t>
  </si>
  <si>
    <t>1.0.0</t>
  </si>
  <si>
    <t>1、MARS-15200-16CX Rate Calculator</t>
  </si>
  <si>
    <t>2022.12.22</t>
  </si>
  <si>
    <t>1.0.1</t>
  </si>
  <si>
    <t>1、MARS-6500-31X2X Rate Calculator</t>
  </si>
  <si>
    <t>2023.04.06</t>
  </si>
  <si>
    <t>1、MARS-10300-24X2X Rate Calculator</t>
  </si>
  <si>
    <t>2023.08.14</t>
  </si>
  <si>
    <t>WidthMax</t>
  </si>
  <si>
    <t>HeightMax</t>
  </si>
  <si>
    <t>Width</t>
  </si>
  <si>
    <t>Height</t>
  </si>
  <si>
    <t xml:space="preserve">BinningHorizontal </t>
  </si>
  <si>
    <t xml:space="preserve">BinningVertical </t>
  </si>
  <si>
    <t>DecimationHorizontal</t>
  </si>
  <si>
    <t>DecimationVertical</t>
  </si>
  <si>
    <t>ExposureTime(us)</t>
  </si>
  <si>
    <t>ExposureDelay(us)</t>
  </si>
  <si>
    <t>PixelFormat(8/12)</t>
  </si>
  <si>
    <t>StreamPacketSizeMax</t>
  </si>
  <si>
    <t>TriggerMode</t>
  </si>
  <si>
    <t>FramerateABS</t>
  </si>
  <si>
    <t>FramerateAbsEn</t>
  </si>
  <si>
    <t>Connection speed</t>
  </si>
  <si>
    <t>Number of connections</t>
  </si>
  <si>
    <t>DeviceLinkThroughputLimitMod</t>
  </si>
  <si>
    <t>DeviceLinkThroughputLimit</t>
  </si>
  <si>
    <t>FPS</t>
  </si>
  <si>
    <t>error message;</t>
  </si>
  <si>
    <t>The current parameter is not within the range:[32,'WidthMax'], please enter again</t>
  </si>
  <si>
    <t>The current parameter is not within the range:[2,'HeightMax'], please enter again</t>
  </si>
  <si>
    <t>The frame rate calculated by the parameters in the current frame rate calculation table may be abnormal, please modify the parameters according to the prompt</t>
  </si>
  <si>
    <t>BinningHorizontal and DecimationHorizontal is not open simultaneously , please enter again.</t>
  </si>
  <si>
    <t>BinningVertical  and DecimationVertical not open simultaneously , please enter again.</t>
  </si>
  <si>
    <t>Frame rate calculation is correct:</t>
  </si>
  <si>
    <t>MARS-15200-16CX</t>
  </si>
  <si>
    <t>参数输入</t>
  </si>
  <si>
    <t>sensor固定参数（每款sensor值不一样，需要提取成宏）</t>
  </si>
  <si>
    <t>4.pixel_clk</t>
  </si>
  <si>
    <t>5.phy num</t>
  </si>
  <si>
    <t>6.ch num</t>
  </si>
  <si>
    <t>7.margin_x</t>
  </si>
  <si>
    <t>8.margin_y</t>
  </si>
  <si>
    <t>9.sensor_width_min</t>
  </si>
  <si>
    <t>10.sensor_height_min</t>
  </si>
  <si>
    <t>11.sensor_width_max</t>
  </si>
  <si>
    <t>12.sensor_height_max</t>
  </si>
  <si>
    <t>13.Tfot_min(系列化时公式须根据实测情况调整)</t>
  </si>
  <si>
    <t>14.Tfot(系列化时公式须根据实测情况调整)</t>
  </si>
  <si>
    <t>15.LINE_U_LENGTH</t>
  </si>
  <si>
    <t>16.Nline</t>
  </si>
  <si>
    <t>17.exp_start_dly_line</t>
  </si>
  <si>
    <t>18.exp_end_dly_clk</t>
  </si>
  <si>
    <t>19.tp_row_num</t>
  </si>
  <si>
    <t>20.VBmin</t>
  </si>
  <si>
    <t>21.Period margin</t>
  </si>
  <si>
    <t>22.PixelFormat</t>
  </si>
  <si>
    <t>23.Default exposureTime</t>
  </si>
  <si>
    <t>24.Default pic_width</t>
  </si>
  <si>
    <t>25.Default pic_height</t>
  </si>
  <si>
    <t>26.Default FrameRate</t>
  </si>
  <si>
    <t>27.Risky Duration</t>
  </si>
  <si>
    <t>28.OB line num</t>
  </si>
  <si>
    <t>MARS-2621-150CX</t>
  </si>
  <si>
    <t>像素格式(8/10)</t>
  </si>
  <si>
    <t>img_row_time_real</t>
  </si>
  <si>
    <t>gmax32152</t>
  </si>
  <si>
    <t>像素格式(8/12)</t>
  </si>
  <si>
    <t>if(TriggerMode=1,if(ExposureMode=TriggerWidth,max(readout_period_time,exp_period_triggerwidth,fps_limit_period_time),max(readout_period_time,exp_period_time,fps_limit_period_time)+exp risky delay time),max(readout_period_time,exp_period_time,tp_limit_period_time,fps_limit_period_time)+exp risky delay time)</t>
  </si>
  <si>
    <t>LINE_U_LENGTH_MIN</t>
  </si>
  <si>
    <t>pixel</t>
  </si>
  <si>
    <t>MARS-6500-71CX</t>
  </si>
  <si>
    <t>gmax3265</t>
  </si>
  <si>
    <t>Tfot_min</t>
  </si>
  <si>
    <t>FOT最小时间</t>
  </si>
  <si>
    <t>MARS-6500-31CX</t>
  </si>
  <si>
    <t>曝光模式</t>
  </si>
  <si>
    <t>ExposureMode</t>
  </si>
  <si>
    <t>Timed</t>
  </si>
  <si>
    <t>Tfot_real</t>
  </si>
  <si>
    <t>FOT实际时间</t>
  </si>
  <si>
    <t>ExposureOverlapTimeMax</t>
  </si>
  <si>
    <t>readout_period_time_real</t>
  </si>
  <si>
    <t>Nline</t>
  </si>
  <si>
    <t>行周期计算系数</t>
  </si>
  <si>
    <t>ExposureTime</t>
  </si>
  <si>
    <t>roundup(ExposureTime+exp_start_delay+exp_end_delay+Tfot+Period margin)</t>
  </si>
  <si>
    <t>VBmin</t>
  </si>
  <si>
    <t>最小帧消隐行数</t>
  </si>
  <si>
    <t>line</t>
  </si>
  <si>
    <t>ExposureDelay</t>
  </si>
  <si>
    <t>exp_start_dly_line</t>
  </si>
  <si>
    <t>曝光开始延迟</t>
  </si>
  <si>
    <t>TriggerWidth模式下触发信号长度（demo上没有此项设置，在调试时方便计算帧周期）</t>
  </si>
  <si>
    <t>TriggerWidthLength</t>
  </si>
  <si>
    <t>带宽限制决定帧周期</t>
  </si>
  <si>
    <t>DeviceLinkThroughputLimitMod*link_throughput_limit_period</t>
  </si>
  <si>
    <t>exp_end_dly_clk</t>
  </si>
  <si>
    <t>曝光结束延迟</t>
  </si>
  <si>
    <t>clk</t>
  </si>
  <si>
    <t>触发控制</t>
  </si>
  <si>
    <t>tpmax_limit_period_time</t>
  </si>
  <si>
    <t>最大带宽限制帧周期</t>
  </si>
  <si>
    <t>bandwidth_limit_period_time</t>
  </si>
  <si>
    <t>tp_row_num</t>
  </si>
  <si>
    <t>行暂停时间</t>
  </si>
  <si>
    <t>触发模式</t>
  </si>
  <si>
    <t>sensor相关信息</t>
  </si>
  <si>
    <t>OB line num</t>
  </si>
  <si>
    <t>OB行数</t>
  </si>
  <si>
    <t>TriggerDelay</t>
  </si>
  <si>
    <t>实际曝光时间</t>
  </si>
  <si>
    <t>ROUNDUP((1000*ExposureTime-1000*exp_end_dly_clk/freq_pix_clk)/1000,0)</t>
  </si>
  <si>
    <t>Risky Duration</t>
  </si>
  <si>
    <t>是否存在风险区</t>
  </si>
  <si>
    <t>ROI</t>
  </si>
  <si>
    <t>exp_delay_line_num</t>
  </si>
  <si>
    <t>曝光延迟时间</t>
  </si>
  <si>
    <t>Period margin</t>
  </si>
  <si>
    <t>帧周期边界预留</t>
  </si>
  <si>
    <t>水平偏移</t>
  </si>
  <si>
    <t>OffsetX</t>
  </si>
  <si>
    <t>judgment of risky duration</t>
  </si>
  <si>
    <t>判断下帧曝光是否落到风险区</t>
  </si>
  <si>
    <t>IF(Risky Duration,IF((frame_time-exp_time)&lt;readout_period_time,IF((frame_time-exp_time)&gt;=(readout_period_time-6*ROUNDUP(img_row_time/1000,0)),1,0),0))</t>
  </si>
  <si>
    <t>帧周期参数-sensor readout</t>
  </si>
  <si>
    <t>FPGA寄存器-sensor控制相关</t>
  </si>
  <si>
    <t>垂直偏移</t>
  </si>
  <si>
    <t>OffsetY</t>
  </si>
  <si>
    <t>exp risky delay time</t>
  </si>
  <si>
    <t>由风险区导致的下帧曝光延迟时间</t>
  </si>
  <si>
    <t>IF(judgment of risky duration=1,readout_period_time-(frame_time-exp_time),0)</t>
  </si>
  <si>
    <t>img_row_time_min</t>
  </si>
  <si>
    <t>最小行周期</t>
  </si>
  <si>
    <t>1000*Nline*LINE_U_LENGTH_MIN/freq_pix_clk</t>
  </si>
  <si>
    <t>图像宽度</t>
  </si>
  <si>
    <t>TriggerWidth模式下曝光时间</t>
  </si>
  <si>
    <t>readout_period_time_min</t>
  </si>
  <si>
    <t>最小读出时间</t>
  </si>
  <si>
    <t>INT((Height*img_row_time_min)/1000)</t>
  </si>
  <si>
    <t>gmax_exposure_delay</t>
  </si>
  <si>
    <t>0x1001004</t>
  </si>
  <si>
    <t>从模式曝光延时，仅用于配合闪光灯补光使用，单位是us。</t>
  </si>
  <si>
    <t>图像高度</t>
  </si>
  <si>
    <t>exp_period_triggerwidth</t>
  </si>
  <si>
    <t>TriggerWidth模式下曝光时间决定的帧周期</t>
  </si>
  <si>
    <t>IF((TriggerMode=1)&amp;(ExposureMode="TriggerWidth"),ROUNDUP(readout_period_time+IF(TriggerWidthLength&gt;ExposureOverlapTimeMax,TriggerWidthLength-ExposureOverlapTimeMax,0)+Period margin),"null")</t>
  </si>
  <si>
    <t>extra_readout_supplement_time</t>
  </si>
  <si>
    <t>额外需要补充的读出时间</t>
  </si>
  <si>
    <t>IF(tp_limit_period_time&lt;=readout_period_time_min,0,tp_limit_period_time-readout_period_time_min)</t>
  </si>
  <si>
    <t>gmax_exposure_time</t>
  </si>
  <si>
    <t>0x1001008</t>
  </si>
  <si>
    <t>从模式曝光时间，单位是us</t>
  </si>
  <si>
    <t>带宽控制</t>
  </si>
  <si>
    <t>exp_time_triggerwidth</t>
  </si>
  <si>
    <t>TriggerWidth模式下实际曝光时间</t>
  </si>
  <si>
    <t xml:space="preserve">IF((TriggerMode=1)&amp;(ExposureMode="TriggerWidth"),ROUNDUP(IF(TriggerWidthLength&gt;ExposureOverlapTimeMax,TriggerWidthLength-img_row_time_real*exp_start_dly_line+exp_end_dly_clk/freq_pix_clk,ExposureOverlapTimeMax-img_row_time_real*exp_start_dly_line+*exp_end_dly_clk/freq_pix_clk),"null") </t>
  </si>
  <si>
    <t>extend_time_per_line</t>
  </si>
  <si>
    <t>每行扩展时间</t>
  </si>
  <si>
    <t>ROUNDUP(1000*extra_readout_supplement_time/Height,0)</t>
  </si>
  <si>
    <t>gmax_readout_time</t>
  </si>
  <si>
    <t>0x100100C</t>
  </si>
  <si>
    <t>从模式读出时间，表示图像传输时间，单位是us。</t>
  </si>
  <si>
    <t>连接速度</t>
  </si>
  <si>
    <t>Gbit/s</t>
  </si>
  <si>
    <t>带宽相关信息</t>
  </si>
  <si>
    <t>行周期寄存器</t>
  </si>
  <si>
    <t>ROUNDUP(extend_time_per_line*freq_pix_clk/Nline/1000,0)+LINE_U_LENGTH_MIN</t>
  </si>
  <si>
    <t>gmax_trigger_interval_cont</t>
  </si>
  <si>
    <t>0x1001010</t>
  </si>
  <si>
    <t xml:space="preserve">从模式触发间隔-连续模式，表示帧周期，单位是us。 </t>
  </si>
  <si>
    <t>DEC2HEX(MAX(readout_period_time,exp_period_time,tp_limit_period_time,fps_limit_period_time))</t>
  </si>
  <si>
    <t>连接个数</t>
  </si>
  <si>
    <t>Image effective bandwidth</t>
  </si>
  <si>
    <t>图像有效带宽</t>
  </si>
  <si>
    <t>frame_freq*4*DsizeL*Height/1000000</t>
  </si>
  <si>
    <t>实际行周期</t>
  </si>
  <si>
    <t>ROUNDUP(1000*Nline*LINE_U_LENGTH/freq_pix_clk,0)</t>
  </si>
  <si>
    <t>gmax_trigger_interval_trig</t>
  </si>
  <si>
    <t>0x1001014</t>
  </si>
  <si>
    <t xml:space="preserve">从模式触发间隔-触发模式，表示帧周期，单位是us。 </t>
  </si>
  <si>
    <t>DEC2HEX(MAX(readout_period_time,exp_period_time,fps_limit_period_time))</t>
  </si>
  <si>
    <t>最大流包包长
(指的是CoaXPress流包的最大总长度
范围:512-16384)</t>
  </si>
  <si>
    <t>Transport total value</t>
  </si>
  <si>
    <t>传输总带宽</t>
  </si>
  <si>
    <t>frame_freq*4*frame_packet_size/1000000</t>
  </si>
  <si>
    <t>实际读出时间决定帧周期</t>
  </si>
  <si>
    <t>ROUNDUP(((Height+VBmin+OB_line_num+Period margin)*img_row_time_real+Tfot_real)/1000,0)</t>
  </si>
  <si>
    <t>gmax_trigger_interval_sing</t>
  </si>
  <si>
    <t>0x1001018</t>
  </si>
  <si>
    <t xml:space="preserve">从模式触发间隔-单帧模式，表示帧周期，单位是us。 </t>
  </si>
  <si>
    <t>DEC2HEX(MAX(readout_period_time,exp_period_time))</t>
  </si>
  <si>
    <t>带宽限制模式(0/1)</t>
  </si>
  <si>
    <t>Transport theoretical value</t>
  </si>
  <si>
    <t>传输理论带宽</t>
  </si>
  <si>
    <t>Number_of_connections*link_speed*8*1000*(100-BandwidthReserve)/100/10/8</t>
  </si>
  <si>
    <t>CoaXPress参数</t>
  </si>
  <si>
    <t>gmax_risky_start</t>
  </si>
  <si>
    <t>0x100101c</t>
  </si>
  <si>
    <t>gmax系列相机风险区开始时间，单位是us。</t>
  </si>
  <si>
    <t>IF(Risky Duration,DEC2HEX(ROUNDUP(6*img_row_time/1000,0)),0)</t>
  </si>
  <si>
    <t>带宽限制值</t>
  </si>
  <si>
    <t>Bps</t>
  </si>
  <si>
    <t>Transport value per line</t>
  </si>
  <si>
    <t>每行传输有效带宽</t>
  </si>
  <si>
    <t>4*DsizeL*1000000000/img_row_time_real/1000000</t>
  </si>
  <si>
    <t>gmax_exposure_mode</t>
  </si>
  <si>
    <t>0x1001020</t>
  </si>
  <si>
    <t>曝光模式控制寄存器</t>
  </si>
  <si>
    <t>帧率限制</t>
  </si>
  <si>
    <t>Start of packet indication</t>
  </si>
  <si>
    <t>CoaXPress数据包开始标志</t>
  </si>
  <si>
    <t>固定为1word</t>
  </si>
  <si>
    <t>word</t>
  </si>
  <si>
    <t>param_cfg_done</t>
  </si>
  <si>
    <t>0x1100000</t>
  </si>
  <si>
    <t>1:成组生效寄存器设置完成</t>
  </si>
  <si>
    <t>采集帧率调节模式(0/1)</t>
  </si>
  <si>
    <t>AcquisitionFrameRateMode</t>
  </si>
  <si>
    <t>Stream data packet indication</t>
  </si>
  <si>
    <t>CoaXPress流包开始标志</t>
  </si>
  <si>
    <t>FPGA寄存器-传输控制相关</t>
  </si>
  <si>
    <t>AcquisitionFrameRate</t>
  </si>
  <si>
    <t>Stream header</t>
  </si>
  <si>
    <t>CoaXPress流包协议头</t>
  </si>
  <si>
    <t>Stream ID 1word +
Packet Tag 1word + 
DsizeP 2word</t>
  </si>
  <si>
    <t>Skipping</t>
  </si>
  <si>
    <t>CRC</t>
  </si>
  <si>
    <t>CRC校验</t>
  </si>
  <si>
    <t>DsizeL</t>
  </si>
  <si>
    <t>0x1301004</t>
  </si>
  <si>
    <t>每行传输数据量</t>
  </si>
  <si>
    <t>水平Skipping</t>
  </si>
  <si>
    <t>Horizontal Skipping</t>
  </si>
  <si>
    <t>End of packet indication</t>
  </si>
  <si>
    <t>CoaXPress数据包结束标志</t>
  </si>
  <si>
    <t>image_payload_size_l</t>
  </si>
  <si>
    <t>0x1300800</t>
  </si>
  <si>
    <t>一帧图所需payload大小的低32bit</t>
  </si>
  <si>
    <t>垂直Skipping</t>
  </si>
  <si>
    <t>Vertical Skipping</t>
  </si>
  <si>
    <t>Min packet interval</t>
  </si>
  <si>
    <t>最小包间隔</t>
  </si>
  <si>
    <t>固定为4word</t>
  </si>
  <si>
    <t>image_payload_size_h</t>
  </si>
  <si>
    <t>0x1300804</t>
  </si>
  <si>
    <t>一帧图所需payload大小的高32bit</t>
  </si>
  <si>
    <t>Binning</t>
  </si>
  <si>
    <t>packet_expense</t>
  </si>
  <si>
    <t>流包协议开销总和</t>
  </si>
  <si>
    <t>Start of packet indication +
Stream data packet indication +
Stream header +
CRC +
End of packet indication</t>
  </si>
  <si>
    <t>cur_pkt_length</t>
  </si>
  <si>
    <t>0x1300900</t>
  </si>
  <si>
    <t>当前传输完整流包大小</t>
  </si>
  <si>
    <t>水平Binning</t>
  </si>
  <si>
    <t>Horizontal Binning</t>
  </si>
  <si>
    <t>帧周期参数-CoaXPress</t>
  </si>
  <si>
    <t>cur_pic_pkt_cnt</t>
  </si>
  <si>
    <t>0x1300904</t>
  </si>
  <si>
    <t>完整包个数</t>
  </si>
  <si>
    <t>complete_packet_num</t>
  </si>
  <si>
    <t>垂直Binning</t>
  </si>
  <si>
    <t>Vertical Binning</t>
  </si>
  <si>
    <t>remain_pkt_length</t>
  </si>
  <si>
    <t>0x1300908</t>
  </si>
  <si>
    <t>残包大小（净长）</t>
  </si>
  <si>
    <t>incomplete_packet_size</t>
  </si>
  <si>
    <t>内部带宽控制（相机内部带宽控制参数，暂时不开放给用户）</t>
  </si>
  <si>
    <t>image_header</t>
  </si>
  <si>
    <t>图像帧信息</t>
  </si>
  <si>
    <t>固定为25word</t>
  </si>
  <si>
    <t>connection_config</t>
  </si>
  <si>
    <t>0x1400800</t>
  </si>
  <si>
    <t>连接配置</t>
  </si>
  <si>
    <t>ConnectionConfig</t>
  </si>
  <si>
    <t xml:space="preserve">数据包延展(流包之间插入IDLE码，以降低传输带宽) </t>
  </si>
  <si>
    <t>PacketStretching</t>
  </si>
  <si>
    <t>line_marker</t>
  </si>
  <si>
    <t>行标志</t>
  </si>
  <si>
    <t>固定为2word</t>
  </si>
  <si>
    <t>pkt_stretch_interval</t>
  </si>
  <si>
    <t>0x1400880</t>
  </si>
  <si>
    <t>数据包延展间隔</t>
  </si>
  <si>
    <t>预留带宽</t>
  </si>
  <si>
    <t>BandwidthReserve</t>
  </si>
  <si>
    <t>%</t>
  </si>
  <si>
    <t>ROUNDUP(Width*2*pixel_format/16/4,0)
这里是考虑packing之后每行对应的word个数，其中16表示16bit，因为packing是以16bit为一个数据单元进行处理，4是只一个word中的字节数</t>
  </si>
  <si>
    <t>计算结果：</t>
  </si>
  <si>
    <t>image_payload_size</t>
  </si>
  <si>
    <t>每帧图像传输负载总量</t>
  </si>
  <si>
    <t>Height*(DsizeL+line_marker)+image_header</t>
  </si>
  <si>
    <t>F</t>
  </si>
  <si>
    <t>IF(StreamPacketSizeMax&gt;8192,8192,IF(StreamPacketSizeMax&lt;=32,0,StreamPacketSizeMax))/4</t>
  </si>
  <si>
    <t>IF(cur_pkt_length=0,0,INT(image_payload_size/(cur_pkt_length-packet_expense)))</t>
  </si>
  <si>
    <t>IF(cur_pkt_length=0,0,image_payload_size-complete_packet_num*(cur_pkt_length-packet_expense))</t>
  </si>
  <si>
    <t>incomplete_packet_num</t>
  </si>
  <si>
    <t>残包个数</t>
  </si>
  <si>
    <t>IF(incomplete_packet_size=0,0,1)</t>
  </si>
  <si>
    <t>frame_packet_size</t>
  </si>
  <si>
    <t>cxp流包payload的总大小（包含全部协议开销）</t>
  </si>
  <si>
    <t>complete_packet_num*cur_pkt_length+incomplete_packet_num*(incomplete_packet_size+packet_expense+Min packet interval)</t>
  </si>
  <si>
    <t>all_packet_gap</t>
  </si>
  <si>
    <t>所有的包间隔</t>
  </si>
  <si>
    <t>(complete_packet_num+incomplete_packet_num)*PacketStretching</t>
  </si>
  <si>
    <t>frame_transfer_size</t>
  </si>
  <si>
    <t>传输图像尺寸（包含全部协议开销与包间隔）</t>
  </si>
  <si>
    <t>frame_packet_size+all_packet_gap</t>
  </si>
  <si>
    <t>Idle bandwidth expense</t>
  </si>
  <si>
    <t>协议要求插入IDLE码所占带宽开销</t>
  </si>
  <si>
    <t>1*100/95
95表示至少每隔95个word需要插入1个IDLE码</t>
  </si>
  <si>
    <t>cxp_valid_bandwidth</t>
  </si>
  <si>
    <t>CXP接口有效传输带宽</t>
  </si>
  <si>
    <t>INT(Number_of_connections*link_speed*1000000000*8*(100-BandwidthReserve-Idle_bandwidth_expense)*10/100/8)</t>
  </si>
  <si>
    <t>byte/10s</t>
  </si>
  <si>
    <t>link_throughput_limit_period</t>
  </si>
  <si>
    <t>带宽限制值决定的帧周期</t>
  </si>
  <si>
    <t>ROUNDUP(1000000*frame_packet_size*4*100/(DeviceLinkThroughputLimit*(100-Idle bandwidth expense)))</t>
  </si>
  <si>
    <t>backend_limit_period_time</t>
  </si>
  <si>
    <t>后端最大带宽传输限制的帧周期</t>
  </si>
  <si>
    <t>ROUNDUP(ROUNDUP(1000000*frame_size/cxp_valid_bandwidth*10)</t>
  </si>
  <si>
    <t>BinningHorizontal</t>
  </si>
  <si>
    <t>BinningVertical</t>
  </si>
  <si>
    <t>MARS-10300-24CX</t>
  </si>
  <si>
    <t>gmax32103</t>
  </si>
  <si>
    <t>TriggerWidth模式下触发信号长度（在调试时计算实际帧周期使用，固件计算时可按该值为0处理）</t>
  </si>
  <si>
    <t>IF((TriggerMode=1)*(ExposureMode="TriggerWidth"),MAX(ExposureOverlapTimeMax,TriggerWidthLength),ROUNDUP((1000*ExposureTime-1000*exp_end_dly_clk/freq_pix_clk)/1000,0))</t>
  </si>
  <si>
    <t>IF(Risky Duration,IF((TriggerMode=1)*(ExposureMode="TriggerWidth"),IF((ExposureOverlapTimeMax&lt;=ROUNDUP(6*img_row_time/1000,0))*(ExposureOverlapTimeMax&gt;0),1,0),IF((frame_time-exp_time)&lt;readout_period_time,IF((frame_time-exp_time)&gt;=(readout_period_time-6*ROUNDUP(img_row_time/1000,0)),1,0)),0)</t>
  </si>
  <si>
    <t>IF(judgment of risky duration=1,IF((TriggerMode=1)*(ExposureMode="TriggerWidth"),ExposureOverlapTimeMax,readout_period_time-(frame_time-exp_time)),0)</t>
  </si>
  <si>
    <t>IF((TriggerMode=1)&amp;(ExposureMode="TriggerWidth"),ROUNDUP(readout_period_time+MAX(TriggerWidthLength,ExposureOverlapTimeMax)-(ExposureOverlapTimeMax-ROUNDUP(exp_start_dly_line*img_row_time/1000,0))*(ExposureOverlapTimeMax&gt;ROUNDUP(6*img_row_time/1000,0)),0),"null")</t>
  </si>
  <si>
    <t xml:space="preserve">IF((TriggerMode=1)&amp;(ExposureMode="TriggerWidth"),MAX(TriggerWidthLength,ExposureOverlapTimeMax)+exp_end_dly_clk/freq_pix_clk,"null") </t>
  </si>
  <si>
    <t>IF(ExposureMode=TriggerWidth,DEC2HEX(MAX(readout_period_time,fps_limit_period_time)),DEC2HEX(MAX(readout_period_time,exp_period_time,fps_limit_period_time)))</t>
  </si>
  <si>
    <t>最大流包包长
(指的是CoaXPress流包的最大总长度
范围:512-8192)</t>
  </si>
  <si>
    <t>MBps</t>
  </si>
  <si>
    <t>ROUNDUP(frame_packet_size*4*100/(DeviceLinkThroughputLimit*(100-Idle bandwidth expense)))</t>
  </si>
  <si>
    <t>sensor寄存器地址（十进制）</t>
  </si>
  <si>
    <t>bit</t>
  </si>
  <si>
    <t>含义</t>
  </si>
  <si>
    <t>4:0</t>
  </si>
  <si>
    <t>奇数行黑电平，[13:9]</t>
  </si>
  <si>
    <t>7:0</t>
  </si>
  <si>
    <t>奇数行黑电平,[8:1]</t>
  </si>
  <si>
    <t>奇数行黑电平,[0]</t>
  </si>
  <si>
    <t>6:0</t>
  </si>
  <si>
    <t>偶数行黑电平,[13:7]</t>
  </si>
  <si>
    <t>7:1</t>
  </si>
  <si>
    <t>偶数行黑电平,[6:0]</t>
  </si>
  <si>
    <t>算法提供</t>
  </si>
  <si>
    <t>帧率计算是否正确：</t>
  </si>
  <si>
    <t>垂直像素Binning和垂直像素抽样不能同时开启，请重新输入</t>
  </si>
  <si>
    <t>水平像素Binning和水平像素抽样不能同时开启，请重新输入</t>
  </si>
  <si>
    <t>当前帧率计算表中参数计算出的帧率可能出现异常，请根据提示修改参数</t>
  </si>
  <si>
    <t>当前参数不在范围2~图像高度最大值内，请重新输入</t>
  </si>
  <si>
    <t>当前参数不在范围32~图像宽度最大值内，请重新输入</t>
  </si>
  <si>
    <t>错误信息：</t>
  </si>
  <si>
    <t>PixelFormat(8/10)</t>
  </si>
  <si>
    <r>
      <rPr>
        <b/>
        <sz val="11"/>
        <color rgb="FFFFFF00"/>
        <rFont val="Calibri"/>
        <family val="3"/>
        <charset val="134"/>
        <scheme val="minor"/>
      </rPr>
      <t>PixelFormat(8/1</t>
    </r>
    <r>
      <rPr>
        <b/>
        <sz val="11"/>
        <color rgb="FFFFFF00"/>
        <rFont val="Calibri"/>
        <family val="3"/>
        <charset val="134"/>
        <scheme val="minor"/>
      </rPr>
      <t>0</t>
    </r>
    <r>
      <rPr>
        <b/>
        <sz val="11"/>
        <color rgb="FFFFFF00"/>
        <rFont val="Calibri"/>
        <family val="3"/>
        <charset val="134"/>
        <scheme val="minor"/>
      </rPr>
      <t>)</t>
    </r>
  </si>
  <si>
    <r>
      <rPr>
        <sz val="11"/>
        <color theme="1"/>
        <rFont val="Calibri"/>
        <family val="3"/>
        <charset val="134"/>
        <scheme val="minor"/>
      </rPr>
      <t xml:space="preserve">1、MARS-15200-16CX Rate Calculator
</t>
    </r>
    <r>
      <rPr>
        <sz val="11"/>
        <color theme="1"/>
        <rFont val="Calibri"/>
        <family val="3"/>
        <charset val="134"/>
        <scheme val="minor"/>
      </rPr>
      <t>2</t>
    </r>
    <r>
      <rPr>
        <sz val="11"/>
        <color theme="1"/>
        <rFont val="Calibri"/>
        <family val="3"/>
        <charset val="134"/>
        <scheme val="minor"/>
      </rPr>
      <t>、</t>
    </r>
    <r>
      <rPr>
        <sz val="11"/>
        <color theme="1"/>
        <rFont val="Calibri"/>
        <family val="3"/>
        <charset val="134"/>
        <scheme val="minor"/>
      </rPr>
      <t>MARS-6500-31X2X Rate Calculator</t>
    </r>
  </si>
  <si>
    <r>
      <rPr>
        <sz val="11"/>
        <color theme="1"/>
        <rFont val="Calibri"/>
        <family val="3"/>
        <charset val="134"/>
        <scheme val="minor"/>
      </rPr>
      <t>202</t>
    </r>
    <r>
      <rPr>
        <sz val="11"/>
        <color theme="1"/>
        <rFont val="Calibri"/>
        <family val="3"/>
        <charset val="134"/>
        <scheme val="minor"/>
      </rPr>
      <t>3</t>
    </r>
    <r>
      <rPr>
        <sz val="11"/>
        <color theme="1"/>
        <rFont val="Calibri"/>
        <family val="3"/>
        <charset val="134"/>
        <scheme val="minor"/>
      </rPr>
      <t>.</t>
    </r>
    <r>
      <rPr>
        <sz val="11"/>
        <color theme="1"/>
        <rFont val="Calibri"/>
        <family val="3"/>
        <charset val="134"/>
        <scheme val="minor"/>
      </rPr>
      <t>06</t>
    </r>
    <r>
      <rPr>
        <sz val="11"/>
        <color theme="1"/>
        <rFont val="Calibri"/>
        <family val="3"/>
        <charset val="134"/>
        <scheme val="minor"/>
      </rPr>
      <t>.</t>
    </r>
    <r>
      <rPr>
        <sz val="11"/>
        <color theme="1"/>
        <rFont val="Calibri"/>
        <family val="3"/>
        <charset val="134"/>
        <scheme val="minor"/>
      </rPr>
      <t>06</t>
    </r>
  </si>
  <si>
    <t>1、Change DeviceLinkThroughputLimit in Bps</t>
  </si>
  <si>
    <t>2023.06.15</t>
  </si>
  <si>
    <t>1.0.2</t>
    <phoneticPr fontId="12" type="noConversion"/>
  </si>
  <si>
    <t>1.0.3</t>
    <phoneticPr fontId="12" type="noConversion"/>
  </si>
  <si>
    <t>1.0.4</t>
    <phoneticPr fontId="12" type="noConversion"/>
  </si>
  <si>
    <t>1.0.5</t>
    <phoneticPr fontId="12" type="noConversion"/>
  </si>
  <si>
    <t>1.0.6</t>
    <phoneticPr fontId="12" type="noConversion"/>
  </si>
  <si>
    <t>1、Merge high-resolution and high-speed camera models
2、Modify the high-speed camera model name</t>
    <phoneticPr fontId="12" type="noConversion"/>
  </si>
  <si>
    <t>2023.09.05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</si>
</sst>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"/>
  </numFmts>
  <fonts count="13">
    <font>
      <sz val="11"/>
      <color theme="1"/>
      <name val="Calibri"/>
      <charset val="134"/>
      <scheme val="minor"/>
    </font>
    <font>
      <b/>
      <sz val="11"/>
      <color rgb="FFFFFF00"/>
      <name val="Calibri"/>
      <family val="3"/>
      <charset val="134"/>
      <scheme val="minor"/>
    </font>
    <font>
      <b/>
      <sz val="12"/>
      <color theme="1"/>
      <name val="Calibri"/>
      <family val="3"/>
      <charset val="134"/>
      <scheme val="minor"/>
    </font>
    <font>
      <sz val="11"/>
      <color rgb="FFFFFF00"/>
      <name val="Calibri"/>
      <family val="3"/>
      <charset val="134"/>
      <scheme val="minor"/>
    </font>
    <font>
      <sz val="11"/>
      <name val="Calibri"/>
      <family val="3"/>
      <charset val="134"/>
      <scheme val="minor"/>
    </font>
    <font>
      <sz val="11"/>
      <color rgb="FFFF0000"/>
      <name val="Calibri"/>
      <family val="3"/>
      <charset val="134"/>
      <scheme val="minor"/>
    </font>
    <font>
      <b/>
      <sz val="11"/>
      <color theme="0"/>
      <name val="华文细黑"/>
      <family val="3"/>
      <charset val="134"/>
    </font>
    <font>
      <b/>
      <sz val="18"/>
      <color theme="0"/>
      <name val="华文细黑"/>
      <family val="3"/>
      <charset val="134"/>
    </font>
    <font>
      <sz val="10"/>
      <color rgb="FF181C25"/>
      <name val="宋体"/>
      <family val="3"/>
      <charset val="134"/>
    </font>
    <font>
      <sz val="11"/>
      <color theme="1"/>
      <name val="Calibri"/>
      <family val="3"/>
      <charset val="134"/>
      <scheme val="minor"/>
    </font>
    <font>
      <sz val="11"/>
      <name val="ＭＳ Ｐゴシック"/>
      <family val="2"/>
    </font>
    <font>
      <sz val="11"/>
      <color theme="1"/>
      <name val="Calibri"/>
      <family val="3"/>
      <charset val="134"/>
      <scheme val="minor"/>
    </font>
    <font>
      <sz val="9"/>
      <name val="Calibri"/>
      <family val="3"/>
      <charset val="134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3" tint="0.39994506668294322"/>
        <bgColor indexed="64"/>
      </patternFill>
    </fill>
    <fill>
      <patternFill patternType="solid">
        <fgColor theme="8" tint="0.39991454817346722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4506668294322"/>
        <bgColor indexed="64"/>
      </patternFill>
    </fill>
    <fill>
      <patternFill patternType="solid">
        <fgColor theme="7" tint="0.3999450666829432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1454817346722"/>
        <bgColor indexed="64"/>
      </patternFill>
    </fill>
    <fill>
      <patternFill patternType="solid">
        <fgColor theme="5" tint="0.39991454817346722"/>
        <bgColor indexed="64"/>
      </patternFill>
    </fill>
    <fill>
      <patternFill patternType="solid">
        <fgColor theme="8" tint="0.39988402966399123"/>
        <bgColor indexed="64"/>
      </patternFill>
    </fill>
    <fill>
      <patternFill patternType="solid">
        <fgColor theme="3" tint="0.39991454817346722"/>
        <bgColor indexed="64"/>
      </patternFill>
    </fill>
  </fills>
  <borders count="3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</borders>
  <cellStyleXfs count="11">
    <xf numFmtId="0" fontId="0" fillId="0" borderId="0"/>
    <xf numFmtId="0" fontId="10" fillId="0" borderId="0"/>
    <xf numFmtId="0" fontId="11" fillId="0" borderId="0"/>
    <xf numFmtId="0" fontId="11" fillId="0" borderId="0">
      <alignment vertical="center"/>
    </xf>
    <xf numFmtId="0" fontId="11" fillId="0" borderId="0"/>
    <xf numFmtId="0" fontId="11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>
      <alignment vertical="center"/>
    </xf>
  </cellStyleXfs>
  <cellXfs count="405">
    <xf numFmtId="0" fontId="0" fillId="0" borderId="0" xfId="0"/>
    <xf numFmtId="49" fontId="0" fillId="0" borderId="0" xfId="0" applyNumberFormat="1"/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1" fillId="2" borderId="1" xfId="5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 applyProtection="1">
      <alignment horizontal="left" vertical="center" wrapText="1"/>
      <protection locked="0"/>
    </xf>
    <xf numFmtId="0" fontId="1" fillId="2" borderId="1" xfId="0" applyFont="1" applyFill="1" applyBorder="1" applyAlignment="1" applyProtection="1">
      <alignment horizontal="left" vertical="center"/>
      <protection locked="0"/>
    </xf>
    <xf numFmtId="0" fontId="1" fillId="2" borderId="1" xfId="3" applyFont="1" applyFill="1" applyBorder="1">
      <alignment vertical="center"/>
    </xf>
    <xf numFmtId="0" fontId="1" fillId="2" borderId="1" xfId="3" applyFont="1" applyFill="1" applyBorder="1" applyAlignment="1" applyProtection="1">
      <alignment horizontal="left" vertical="center"/>
      <protection locked="0"/>
    </xf>
    <xf numFmtId="0" fontId="1" fillId="2" borderId="1" xfId="0" applyFont="1" applyFill="1" applyBorder="1" applyAlignment="1">
      <alignment horizontal="left" vertical="center" wrapText="1"/>
    </xf>
    <xf numFmtId="0" fontId="2" fillId="2" borderId="1" xfId="5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horizontal="left" vertical="center" wrapText="1"/>
    </xf>
    <xf numFmtId="0" fontId="3" fillId="3" borderId="2" xfId="0" applyFont="1" applyFill="1" applyBorder="1" applyAlignment="1">
      <alignment vertical="center" wrapText="1"/>
    </xf>
    <xf numFmtId="0" fontId="3" fillId="4" borderId="2" xfId="0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0" fontId="0" fillId="6" borderId="6" xfId="0" applyFill="1" applyBorder="1" applyAlignment="1">
      <alignment horizontal="left" vertical="center" wrapText="1"/>
    </xf>
    <xf numFmtId="0" fontId="0" fillId="6" borderId="1" xfId="0" applyFill="1" applyBorder="1" applyAlignment="1">
      <alignment horizontal="left" vertical="center" wrapText="1"/>
    </xf>
    <xf numFmtId="0" fontId="0" fillId="6" borderId="7" xfId="0" applyFill="1" applyBorder="1" applyAlignment="1">
      <alignment horizontal="left" vertical="center" wrapText="1"/>
    </xf>
    <xf numFmtId="0" fontId="0" fillId="6" borderId="6" xfId="0" applyFill="1" applyBorder="1" applyAlignment="1">
      <alignment vertical="center" wrapText="1"/>
    </xf>
    <xf numFmtId="0" fontId="0" fillId="0" borderId="6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7" borderId="1" xfId="0" applyFill="1" applyBorder="1" applyAlignment="1">
      <alignment horizontal="left" vertical="center" wrapText="1"/>
    </xf>
    <xf numFmtId="0" fontId="0" fillId="8" borderId="7" xfId="0" applyFill="1" applyBorder="1" applyAlignment="1">
      <alignment horizontal="left" vertical="center" wrapText="1"/>
    </xf>
    <xf numFmtId="0" fontId="4" fillId="8" borderId="7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7" borderId="1" xfId="0" applyFont="1" applyFill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6" xfId="0" applyFont="1" applyBorder="1" applyAlignment="1">
      <alignment vertical="center" wrapText="1"/>
    </xf>
    <xf numFmtId="0" fontId="4" fillId="0" borderId="10" xfId="0" applyFont="1" applyBorder="1" applyAlignment="1">
      <alignment vertical="center" wrapText="1"/>
    </xf>
    <xf numFmtId="0" fontId="0" fillId="0" borderId="0" xfId="0" applyAlignment="1">
      <alignment horizontal="left" vertical="center" wrapText="1"/>
    </xf>
    <xf numFmtId="0" fontId="0" fillId="6" borderId="1" xfId="0" applyFill="1" applyBorder="1" applyAlignment="1">
      <alignment vertical="center" wrapText="1"/>
    </xf>
    <xf numFmtId="0" fontId="0" fillId="9" borderId="7" xfId="0" applyFill="1" applyBorder="1" applyAlignment="1">
      <alignment vertical="center" wrapText="1"/>
    </xf>
    <xf numFmtId="0" fontId="4" fillId="10" borderId="11" xfId="0" applyFont="1" applyFill="1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2" fontId="4" fillId="10" borderId="11" xfId="0" applyNumberFormat="1" applyFont="1" applyFill="1" applyBorder="1" applyAlignment="1">
      <alignment horizontal="left" vertical="center" wrapText="1"/>
    </xf>
    <xf numFmtId="0" fontId="4" fillId="10" borderId="1" xfId="0" applyFont="1" applyFill="1" applyBorder="1" applyAlignment="1">
      <alignment horizontal="left" vertical="center" wrapText="1"/>
    </xf>
    <xf numFmtId="0" fontId="0" fillId="0" borderId="7" xfId="0" applyBorder="1" applyAlignment="1">
      <alignment horizontal="left" vertical="center"/>
    </xf>
    <xf numFmtId="0" fontId="5" fillId="10" borderId="1" xfId="0" applyFont="1" applyFill="1" applyBorder="1" applyAlignment="1">
      <alignment horizontal="left" vertical="center" wrapText="1"/>
    </xf>
    <xf numFmtId="0" fontId="0" fillId="10" borderId="1" xfId="0" applyFill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/>
    </xf>
    <xf numFmtId="0" fontId="4" fillId="0" borderId="1" xfId="2" applyFont="1" applyBorder="1" applyAlignment="1">
      <alignment vertical="center"/>
    </xf>
    <xf numFmtId="0" fontId="4" fillId="0" borderId="14" xfId="2" applyFont="1" applyBorder="1" applyAlignment="1">
      <alignment vertical="center"/>
    </xf>
    <xf numFmtId="0" fontId="4" fillId="0" borderId="14" xfId="0" applyFont="1" applyBorder="1" applyAlignment="1">
      <alignment horizontal="left" vertical="center" wrapText="1"/>
    </xf>
    <xf numFmtId="0" fontId="4" fillId="10" borderId="14" xfId="0" applyFont="1" applyFill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5" fillId="6" borderId="18" xfId="0" applyFont="1" applyFill="1" applyBorder="1" applyAlignment="1">
      <alignment horizontal="left" vertical="center" wrapText="1"/>
    </xf>
    <xf numFmtId="0" fontId="5" fillId="6" borderId="19" xfId="0" applyFont="1" applyFill="1" applyBorder="1" applyAlignment="1">
      <alignment horizontal="left" vertical="center" wrapText="1"/>
    </xf>
    <xf numFmtId="0" fontId="0" fillId="9" borderId="7" xfId="0" applyFill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8" borderId="1" xfId="0" applyFont="1" applyFill="1" applyBorder="1" applyAlignment="1">
      <alignment horizontal="left" vertical="center" wrapText="1"/>
    </xf>
    <xf numFmtId="0" fontId="5" fillId="0" borderId="20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8" borderId="14" xfId="0" applyFont="1" applyFill="1" applyBorder="1" applyAlignment="1">
      <alignment horizontal="left" vertical="center" wrapText="1"/>
    </xf>
    <xf numFmtId="49" fontId="0" fillId="0" borderId="6" xfId="0" applyNumberFormat="1" applyBorder="1" applyAlignment="1">
      <alignment horizontal="left" vertical="center" wrapText="1"/>
    </xf>
    <xf numFmtId="49" fontId="0" fillId="0" borderId="1" xfId="0" applyNumberFormat="1" applyBorder="1" applyAlignment="1">
      <alignment horizontal="left" vertical="center" wrapText="1"/>
    </xf>
    <xf numFmtId="49" fontId="0" fillId="0" borderId="20" xfId="0" applyNumberFormat="1" applyBorder="1" applyAlignment="1">
      <alignment vertical="center" wrapText="1"/>
    </xf>
    <xf numFmtId="0" fontId="4" fillId="0" borderId="24" xfId="0" applyFont="1" applyBorder="1" applyAlignment="1">
      <alignment vertical="center" wrapText="1"/>
    </xf>
    <xf numFmtId="0" fontId="4" fillId="0" borderId="24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/>
    </xf>
    <xf numFmtId="0" fontId="5" fillId="0" borderId="9" xfId="0" applyFont="1" applyBorder="1" applyAlignment="1">
      <alignment horizontal="left"/>
    </xf>
    <xf numFmtId="0" fontId="5" fillId="8" borderId="9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5" fillId="0" borderId="14" xfId="0" applyFont="1" applyBorder="1" applyAlignment="1">
      <alignment horizontal="left" vertical="center"/>
    </xf>
    <xf numFmtId="0" fontId="5" fillId="6" borderId="27" xfId="0" applyFont="1" applyFill="1" applyBorder="1" applyAlignment="1">
      <alignment horizontal="left" vertical="center" wrapText="1"/>
    </xf>
    <xf numFmtId="0" fontId="5" fillId="0" borderId="25" xfId="0" applyFont="1" applyBorder="1" applyAlignment="1">
      <alignment horizontal="left" vertical="center" wrapText="1"/>
    </xf>
    <xf numFmtId="0" fontId="5" fillId="0" borderId="28" xfId="0" applyFont="1" applyBorder="1" applyAlignment="1">
      <alignment horizontal="left" vertical="center" wrapText="1"/>
    </xf>
    <xf numFmtId="0" fontId="5" fillId="0" borderId="29" xfId="0" applyFont="1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7" borderId="9" xfId="0" applyFill="1" applyBorder="1" applyAlignment="1">
      <alignment horizontal="left" vertical="center" wrapText="1"/>
    </xf>
    <xf numFmtId="0" fontId="0" fillId="8" borderId="24" xfId="0" applyFill="1" applyBorder="1" applyAlignment="1">
      <alignment horizontal="left" vertical="center" wrapText="1"/>
    </xf>
    <xf numFmtId="0" fontId="7" fillId="11" borderId="10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4" fillId="0" borderId="20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49" fontId="4" fillId="0" borderId="6" xfId="0" applyNumberFormat="1" applyFont="1" applyBorder="1" applyAlignment="1">
      <alignment horizontal="left" vertical="center" wrapText="1"/>
    </xf>
    <xf numFmtId="0" fontId="4" fillId="8" borderId="6" xfId="0" applyFont="1" applyFill="1" applyBorder="1" applyAlignment="1">
      <alignment horizontal="left" vertical="center" wrapText="1"/>
    </xf>
    <xf numFmtId="0" fontId="4" fillId="0" borderId="7" xfId="0" applyFont="1" applyBorder="1" applyAlignment="1">
      <alignment vertical="center" wrapText="1"/>
    </xf>
    <xf numFmtId="0" fontId="0" fillId="0" borderId="6" xfId="0" applyBorder="1" applyAlignment="1">
      <alignment vertical="center"/>
    </xf>
    <xf numFmtId="0" fontId="5" fillId="0" borderId="1" xfId="0" applyFont="1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0" xfId="0" applyBorder="1" applyAlignment="1">
      <alignment vertical="center"/>
    </xf>
    <xf numFmtId="0" fontId="5" fillId="0" borderId="14" xfId="0" applyFont="1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10" borderId="1" xfId="0" applyFill="1" applyBorder="1" applyAlignment="1">
      <alignment horizontal="left" vertical="center"/>
    </xf>
    <xf numFmtId="0" fontId="5" fillId="10" borderId="1" xfId="0" applyFont="1" applyFill="1" applyBorder="1" applyAlignment="1">
      <alignment horizontal="left" vertical="center"/>
    </xf>
    <xf numFmtId="0" fontId="5" fillId="0" borderId="7" xfId="0" applyFont="1" applyBorder="1" applyAlignment="1">
      <alignment horizontal="left" vertical="center" wrapText="1"/>
    </xf>
    <xf numFmtId="0" fontId="4" fillId="10" borderId="1" xfId="0" applyFont="1" applyFill="1" applyBorder="1" applyAlignment="1">
      <alignment horizontal="left" vertical="center"/>
    </xf>
    <xf numFmtId="164" fontId="4" fillId="10" borderId="1" xfId="0" applyNumberFormat="1" applyFont="1" applyFill="1" applyBorder="1" applyAlignment="1">
      <alignment horizontal="left" vertical="center" wrapText="1"/>
    </xf>
    <xf numFmtId="0" fontId="4" fillId="10" borderId="9" xfId="0" applyFont="1" applyFill="1" applyBorder="1" applyAlignment="1">
      <alignment horizontal="left" vertical="center" wrapText="1"/>
    </xf>
    <xf numFmtId="0" fontId="4" fillId="8" borderId="15" xfId="0" applyFont="1" applyFill="1" applyBorder="1" applyAlignment="1">
      <alignment horizontal="left" vertical="center" wrapText="1"/>
    </xf>
    <xf numFmtId="0" fontId="11" fillId="0" borderId="0" xfId="4" applyAlignment="1">
      <alignment horizontal="left" vertical="center" wrapText="1"/>
    </xf>
    <xf numFmtId="0" fontId="1" fillId="2" borderId="1" xfId="5" applyFont="1" applyFill="1" applyBorder="1" applyAlignment="1" applyProtection="1">
      <alignment horizontal="left" vertical="center" wrapText="1"/>
      <protection locked="0"/>
    </xf>
    <xf numFmtId="0" fontId="5" fillId="0" borderId="0" xfId="4" applyFont="1" applyAlignment="1">
      <alignment horizontal="left" vertical="center"/>
    </xf>
    <xf numFmtId="0" fontId="11" fillId="0" borderId="0" xfId="4"/>
    <xf numFmtId="0" fontId="8" fillId="0" borderId="0" xfId="0" applyFont="1" applyAlignment="1">
      <alignment horizontal="left" vertical="center"/>
    </xf>
    <xf numFmtId="0" fontId="5" fillId="0" borderId="14" xfId="0" applyFont="1" applyBorder="1" applyAlignment="1">
      <alignment horizontal="left"/>
    </xf>
    <xf numFmtId="0" fontId="0" fillId="8" borderId="1" xfId="0" applyFill="1" applyBorder="1" applyAlignment="1">
      <alignment vertical="center"/>
    </xf>
    <xf numFmtId="0" fontId="0" fillId="7" borderId="7" xfId="0" applyFill="1" applyBorder="1" applyAlignment="1">
      <alignment horizontal="left" vertical="center" wrapText="1"/>
    </xf>
    <xf numFmtId="0" fontId="0" fillId="0" borderId="34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7" borderId="2" xfId="0" applyFill="1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7" borderId="15" xfId="0" applyFill="1" applyBorder="1" applyAlignment="1">
      <alignment horizontal="left" vertical="center"/>
    </xf>
    <xf numFmtId="2" fontId="4" fillId="10" borderId="1" xfId="0" applyNumberFormat="1" applyFont="1" applyFill="1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0" fontId="5" fillId="6" borderId="6" xfId="0" applyFont="1" applyFill="1" applyBorder="1" applyAlignment="1">
      <alignment horizontal="left" vertical="center" wrapText="1"/>
    </xf>
    <xf numFmtId="0" fontId="5" fillId="12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5" fillId="6" borderId="35" xfId="0" applyFont="1" applyFill="1" applyBorder="1" applyAlignment="1">
      <alignment horizontal="left" vertical="center" wrapText="1"/>
    </xf>
    <xf numFmtId="0" fontId="5" fillId="12" borderId="1" xfId="0" applyFont="1" applyFill="1" applyBorder="1" applyAlignment="1">
      <alignment horizontal="left" vertical="center"/>
    </xf>
    <xf numFmtId="0" fontId="5" fillId="12" borderId="11" xfId="0" applyFont="1" applyFill="1" applyBorder="1" applyAlignment="1">
      <alignment horizontal="left" vertical="center"/>
    </xf>
    <xf numFmtId="0" fontId="5" fillId="6" borderId="1" xfId="0" applyFont="1" applyFill="1" applyBorder="1" applyAlignment="1">
      <alignment horizontal="left" vertical="center" wrapText="1"/>
    </xf>
    <xf numFmtId="0" fontId="0" fillId="0" borderId="7" xfId="0" quotePrefix="1" applyBorder="1" applyAlignment="1">
      <alignment horizontal="left" vertical="center" wrapText="1"/>
    </xf>
    <xf numFmtId="0" fontId="9" fillId="0" borderId="0" xfId="6"/>
    <xf numFmtId="0" fontId="9" fillId="0" borderId="0" xfId="6" applyAlignment="1">
      <alignment vertical="center"/>
    </xf>
    <xf numFmtId="0" fontId="9" fillId="0" borderId="0" xfId="6" applyAlignment="1">
      <alignment horizontal="center" vertical="center"/>
    </xf>
    <xf numFmtId="0" fontId="4" fillId="8" borderId="15" xfId="6" applyFont="1" applyFill="1" applyBorder="1" applyAlignment="1">
      <alignment horizontal="left" vertical="center" wrapText="1"/>
    </xf>
    <xf numFmtId="0" fontId="4" fillId="13" borderId="14" xfId="6" applyFont="1" applyFill="1" applyBorder="1" applyAlignment="1">
      <alignment horizontal="left" vertical="center" wrapText="1"/>
    </xf>
    <xf numFmtId="0" fontId="4" fillId="0" borderId="14" xfId="6" applyFont="1" applyBorder="1" applyAlignment="1">
      <alignment horizontal="left" vertical="center" wrapText="1"/>
    </xf>
    <xf numFmtId="0" fontId="4" fillId="0" borderId="10" xfId="6" applyFont="1" applyBorder="1" applyAlignment="1">
      <alignment horizontal="left" vertical="center" wrapText="1"/>
    </xf>
    <xf numFmtId="0" fontId="4" fillId="0" borderId="24" xfId="6" applyFont="1" applyBorder="1" applyAlignment="1">
      <alignment horizontal="left" vertical="center" wrapText="1"/>
    </xf>
    <xf numFmtId="0" fontId="4" fillId="13" borderId="9" xfId="6" applyFont="1" applyFill="1" applyBorder="1" applyAlignment="1">
      <alignment horizontal="left" vertical="center" wrapText="1"/>
    </xf>
    <xf numFmtId="0" fontId="4" fillId="0" borderId="9" xfId="6" applyFont="1" applyBorder="1" applyAlignment="1">
      <alignment horizontal="left" vertical="center" wrapText="1"/>
    </xf>
    <xf numFmtId="0" fontId="4" fillId="0" borderId="20" xfId="6" applyFont="1" applyBorder="1" applyAlignment="1">
      <alignment horizontal="left" vertical="center" wrapText="1"/>
    </xf>
    <xf numFmtId="0" fontId="4" fillId="0" borderId="7" xfId="6" applyFont="1" applyBorder="1" applyAlignment="1">
      <alignment horizontal="left" vertical="center" wrapText="1"/>
    </xf>
    <xf numFmtId="0" fontId="4" fillId="13" borderId="1" xfId="6" applyFont="1" applyFill="1" applyBorder="1" applyAlignment="1">
      <alignment horizontal="left" vertical="center" wrapText="1"/>
    </xf>
    <xf numFmtId="0" fontId="4" fillId="0" borderId="1" xfId="6" applyFont="1" applyBorder="1" applyAlignment="1">
      <alignment horizontal="left" vertical="center" wrapText="1"/>
    </xf>
    <xf numFmtId="0" fontId="4" fillId="0" borderId="6" xfId="6" applyFont="1" applyBorder="1" applyAlignment="1">
      <alignment horizontal="left" vertical="center" wrapText="1"/>
    </xf>
    <xf numFmtId="0" fontId="4" fillId="0" borderId="7" xfId="6" applyFont="1" applyBorder="1" applyAlignment="1">
      <alignment horizontal="left" vertical="center"/>
    </xf>
    <xf numFmtId="164" fontId="4" fillId="13" borderId="1" xfId="6" applyNumberFormat="1" applyFont="1" applyFill="1" applyBorder="1" applyAlignment="1">
      <alignment horizontal="left" vertical="center" wrapText="1"/>
    </xf>
    <xf numFmtId="0" fontId="9" fillId="0" borderId="7" xfId="6" applyBorder="1" applyAlignment="1">
      <alignment horizontal="left" vertical="center" wrapText="1"/>
    </xf>
    <xf numFmtId="0" fontId="4" fillId="13" borderId="1" xfId="6" applyFont="1" applyFill="1" applyBorder="1" applyAlignment="1">
      <alignment horizontal="left" vertical="center"/>
    </xf>
    <xf numFmtId="0" fontId="5" fillId="0" borderId="7" xfId="6" applyFont="1" applyBorder="1" applyAlignment="1">
      <alignment horizontal="left" vertical="center" wrapText="1"/>
    </xf>
    <xf numFmtId="0" fontId="5" fillId="13" borderId="1" xfId="6" applyFont="1" applyFill="1" applyBorder="1" applyAlignment="1">
      <alignment horizontal="left" vertical="center"/>
    </xf>
    <xf numFmtId="0" fontId="5" fillId="0" borderId="1" xfId="6" applyFont="1" applyBorder="1" applyAlignment="1">
      <alignment horizontal="left" vertical="center" wrapText="1"/>
    </xf>
    <xf numFmtId="0" fontId="5" fillId="0" borderId="6" xfId="6" applyFont="1" applyBorder="1" applyAlignment="1">
      <alignment horizontal="left" vertical="center" wrapText="1"/>
    </xf>
    <xf numFmtId="0" fontId="9" fillId="13" borderId="1" xfId="6" applyFill="1" applyBorder="1" applyAlignment="1">
      <alignment horizontal="left" vertical="center" wrapText="1"/>
    </xf>
    <xf numFmtId="0" fontId="9" fillId="0" borderId="1" xfId="6" applyBorder="1" applyAlignment="1">
      <alignment horizontal="left" vertical="center" wrapText="1"/>
    </xf>
    <xf numFmtId="0" fontId="9" fillId="0" borderId="6" xfId="6" applyBorder="1" applyAlignment="1">
      <alignment horizontal="left" vertical="center" wrapText="1"/>
    </xf>
    <xf numFmtId="0" fontId="9" fillId="13" borderId="1" xfId="6" applyFill="1" applyBorder="1" applyAlignment="1">
      <alignment horizontal="left" vertical="center"/>
    </xf>
    <xf numFmtId="0" fontId="9" fillId="0" borderId="0" xfId="6" applyAlignment="1">
      <alignment wrapText="1"/>
    </xf>
    <xf numFmtId="0" fontId="7" fillId="11" borderId="10" xfId="6" applyFont="1" applyFill="1" applyBorder="1" applyAlignment="1">
      <alignment vertical="center"/>
    </xf>
    <xf numFmtId="0" fontId="5" fillId="13" borderId="1" xfId="6" applyFont="1" applyFill="1" applyBorder="1" applyAlignment="1">
      <alignment horizontal="left" vertical="center" wrapText="1"/>
    </xf>
    <xf numFmtId="0" fontId="4" fillId="8" borderId="7" xfId="6" applyFont="1" applyFill="1" applyBorder="1" applyAlignment="1">
      <alignment horizontal="left" vertical="center" wrapText="1"/>
    </xf>
    <xf numFmtId="0" fontId="4" fillId="14" borderId="1" xfId="6" applyFont="1" applyFill="1" applyBorder="1" applyAlignment="1">
      <alignment horizontal="left" vertical="center" wrapText="1"/>
    </xf>
    <xf numFmtId="0" fontId="4" fillId="0" borderId="1" xfId="6" applyFont="1" applyBorder="1" applyAlignment="1">
      <alignment horizontal="left" vertical="center"/>
    </xf>
    <xf numFmtId="0" fontId="9" fillId="0" borderId="15" xfId="6" applyBorder="1" applyAlignment="1">
      <alignment vertical="center"/>
    </xf>
    <xf numFmtId="0" fontId="9" fillId="0" borderId="14" xfId="6" applyBorder="1" applyAlignment="1">
      <alignment vertical="center"/>
    </xf>
    <xf numFmtId="0" fontId="5" fillId="0" borderId="14" xfId="6" applyFont="1" applyBorder="1" applyAlignment="1">
      <alignment vertical="center"/>
    </xf>
    <xf numFmtId="0" fontId="9" fillId="0" borderId="10" xfId="6" applyBorder="1" applyAlignment="1">
      <alignment vertical="center"/>
    </xf>
    <xf numFmtId="0" fontId="9" fillId="0" borderId="7" xfId="6" applyBorder="1" applyAlignment="1">
      <alignment vertical="center"/>
    </xf>
    <xf numFmtId="0" fontId="9" fillId="0" borderId="1" xfId="6" applyBorder="1" applyAlignment="1">
      <alignment vertical="center"/>
    </xf>
    <xf numFmtId="0" fontId="5" fillId="0" borderId="1" xfId="6" applyFont="1" applyBorder="1" applyAlignment="1">
      <alignment vertical="center"/>
    </xf>
    <xf numFmtId="0" fontId="9" fillId="0" borderId="6" xfId="6" applyBorder="1" applyAlignment="1">
      <alignment vertical="center"/>
    </xf>
    <xf numFmtId="0" fontId="9" fillId="6" borderId="7" xfId="6" applyFill="1" applyBorder="1" applyAlignment="1">
      <alignment horizontal="left" vertical="center" wrapText="1"/>
    </xf>
    <xf numFmtId="0" fontId="9" fillId="15" borderId="1" xfId="6" applyFill="1" applyBorder="1" applyAlignment="1">
      <alignment horizontal="left" vertical="center" wrapText="1"/>
    </xf>
    <xf numFmtId="0" fontId="9" fillId="15" borderId="6" xfId="6" applyFill="1" applyBorder="1" applyAlignment="1">
      <alignment horizontal="left" vertical="center" wrapText="1"/>
    </xf>
    <xf numFmtId="0" fontId="9" fillId="8" borderId="24" xfId="6" applyFill="1" applyBorder="1" applyAlignment="1">
      <alignment horizontal="left" vertical="center" wrapText="1"/>
    </xf>
    <xf numFmtId="0" fontId="9" fillId="14" borderId="9" xfId="6" applyFill="1" applyBorder="1" applyAlignment="1">
      <alignment horizontal="left" vertical="center" wrapText="1"/>
    </xf>
    <xf numFmtId="0" fontId="9" fillId="0" borderId="9" xfId="6" applyBorder="1" applyAlignment="1">
      <alignment horizontal="left" vertical="center" wrapText="1"/>
    </xf>
    <xf numFmtId="0" fontId="9" fillId="0" borderId="20" xfId="6" applyBorder="1" applyAlignment="1">
      <alignment horizontal="left" vertical="center" wrapText="1"/>
    </xf>
    <xf numFmtId="0" fontId="9" fillId="8" borderId="7" xfId="6" applyFill="1" applyBorder="1" applyAlignment="1">
      <alignment horizontal="left" vertical="center" wrapText="1"/>
    </xf>
    <xf numFmtId="0" fontId="9" fillId="14" borderId="1" xfId="6" applyFill="1" applyBorder="1" applyAlignment="1">
      <alignment horizontal="left" vertical="center" wrapText="1"/>
    </xf>
    <xf numFmtId="0" fontId="4" fillId="0" borderId="7" xfId="6" applyFont="1" applyBorder="1" applyAlignment="1">
      <alignment vertical="center" wrapText="1"/>
    </xf>
    <xf numFmtId="49" fontId="9" fillId="0" borderId="1" xfId="6" applyNumberFormat="1" applyBorder="1" applyAlignment="1">
      <alignment horizontal="left" vertical="center" wrapText="1"/>
    </xf>
    <xf numFmtId="0" fontId="4" fillId="8" borderId="6" xfId="6" applyFont="1" applyFill="1" applyBorder="1" applyAlignment="1">
      <alignment horizontal="left" vertical="center" wrapText="1"/>
    </xf>
    <xf numFmtId="49" fontId="9" fillId="0" borderId="6" xfId="6" applyNumberFormat="1" applyBorder="1" applyAlignment="1">
      <alignment horizontal="left" vertical="center" wrapText="1"/>
    </xf>
    <xf numFmtId="0" fontId="9" fillId="15" borderId="7" xfId="6" applyFill="1" applyBorder="1" applyAlignment="1">
      <alignment horizontal="left" vertical="center" wrapText="1"/>
    </xf>
    <xf numFmtId="49" fontId="4" fillId="0" borderId="6" xfId="6" applyNumberFormat="1" applyFont="1" applyBorder="1" applyAlignment="1">
      <alignment horizontal="left" vertical="center" wrapText="1"/>
    </xf>
    <xf numFmtId="0" fontId="4" fillId="0" borderId="15" xfId="6" applyFont="1" applyBorder="1" applyAlignment="1">
      <alignment horizontal="left" vertical="center" wrapText="1"/>
    </xf>
    <xf numFmtId="0" fontId="4" fillId="0" borderId="14" xfId="7" applyFont="1" applyBorder="1" applyAlignment="1">
      <alignment vertical="center"/>
    </xf>
    <xf numFmtId="0" fontId="4" fillId="0" borderId="10" xfId="6" applyFont="1" applyBorder="1" applyAlignment="1">
      <alignment vertical="center" wrapText="1"/>
    </xf>
    <xf numFmtId="0" fontId="4" fillId="0" borderId="1" xfId="7" applyFont="1" applyBorder="1" applyAlignment="1">
      <alignment vertical="center"/>
    </xf>
    <xf numFmtId="0" fontId="4" fillId="0" borderId="6" xfId="6" applyFont="1" applyBorder="1" applyAlignment="1">
      <alignment vertical="center" wrapText="1"/>
    </xf>
    <xf numFmtId="0" fontId="4" fillId="0" borderId="24" xfId="6" applyFont="1" applyBorder="1" applyAlignment="1">
      <alignment vertical="center" wrapText="1"/>
    </xf>
    <xf numFmtId="49" fontId="9" fillId="0" borderId="20" xfId="6" applyNumberFormat="1" applyBorder="1" applyAlignment="1">
      <alignment vertical="center" wrapText="1"/>
    </xf>
    <xf numFmtId="0" fontId="9" fillId="0" borderId="0" xfId="6" applyAlignment="1">
      <alignment horizontal="left" vertical="center" wrapText="1"/>
    </xf>
    <xf numFmtId="0" fontId="9" fillId="0" borderId="7" xfId="6" applyBorder="1" applyAlignment="1">
      <alignment horizontal="left" vertical="center"/>
    </xf>
    <xf numFmtId="0" fontId="9" fillId="0" borderId="7" xfId="6" quotePrefix="1" applyBorder="1" applyAlignment="1">
      <alignment horizontal="left" vertical="center" wrapText="1"/>
    </xf>
    <xf numFmtId="0" fontId="4" fillId="0" borderId="0" xfId="6" applyFont="1" applyAlignment="1">
      <alignment horizontal="left" vertical="center" wrapText="1"/>
    </xf>
    <xf numFmtId="0" fontId="9" fillId="0" borderId="8" xfId="6" applyBorder="1" applyAlignment="1">
      <alignment horizontal="left" vertical="center" wrapText="1"/>
    </xf>
    <xf numFmtId="0" fontId="5" fillId="0" borderId="29" xfId="6" applyFont="1" applyBorder="1" applyAlignment="1">
      <alignment horizontal="left" vertical="center" wrapText="1"/>
    </xf>
    <xf numFmtId="0" fontId="5" fillId="0" borderId="14" xfId="6" applyFont="1" applyBorder="1" applyAlignment="1">
      <alignment horizontal="left"/>
    </xf>
    <xf numFmtId="0" fontId="5" fillId="8" borderId="14" xfId="6" applyFont="1" applyFill="1" applyBorder="1" applyAlignment="1">
      <alignment horizontal="left" vertical="center" wrapText="1"/>
    </xf>
    <xf numFmtId="0" fontId="5" fillId="0" borderId="14" xfId="6" applyFont="1" applyBorder="1" applyAlignment="1">
      <alignment horizontal="left" vertical="center" wrapText="1"/>
    </xf>
    <xf numFmtId="0" fontId="5" fillId="0" borderId="14" xfId="6" applyFont="1" applyBorder="1" applyAlignment="1">
      <alignment horizontal="left" vertical="center"/>
    </xf>
    <xf numFmtId="0" fontId="5" fillId="0" borderId="10" xfId="6" applyFont="1" applyBorder="1" applyAlignment="1">
      <alignment horizontal="left" vertical="center" wrapText="1"/>
    </xf>
    <xf numFmtId="2" fontId="4" fillId="13" borderId="11" xfId="6" applyNumberFormat="1" applyFont="1" applyFill="1" applyBorder="1" applyAlignment="1">
      <alignment horizontal="left" vertical="center" wrapText="1"/>
    </xf>
    <xf numFmtId="0" fontId="5" fillId="0" borderId="25" xfId="6" applyFont="1" applyBorder="1" applyAlignment="1">
      <alignment horizontal="left" vertical="center" wrapText="1"/>
    </xf>
    <xf numFmtId="0" fontId="5" fillId="0" borderId="1" xfId="6" applyFont="1" applyBorder="1" applyAlignment="1">
      <alignment horizontal="left" vertical="center"/>
    </xf>
    <xf numFmtId="0" fontId="5" fillId="8" borderId="1" xfId="6" applyFont="1" applyFill="1" applyBorder="1" applyAlignment="1">
      <alignment horizontal="left" vertical="center" wrapText="1"/>
    </xf>
    <xf numFmtId="0" fontId="4" fillId="13" borderId="11" xfId="6" applyFont="1" applyFill="1" applyBorder="1" applyAlignment="1">
      <alignment horizontal="left" vertical="center" wrapText="1"/>
    </xf>
    <xf numFmtId="0" fontId="9" fillId="6" borderId="7" xfId="6" applyFill="1" applyBorder="1" applyAlignment="1">
      <alignment vertical="center" wrapText="1"/>
    </xf>
    <xf numFmtId="0" fontId="9" fillId="15" borderId="1" xfId="6" applyFill="1" applyBorder="1" applyAlignment="1">
      <alignment vertical="center" wrapText="1"/>
    </xf>
    <xf numFmtId="0" fontId="9" fillId="15" borderId="6" xfId="6" applyFill="1" applyBorder="1" applyAlignment="1">
      <alignment vertical="center" wrapText="1"/>
    </xf>
    <xf numFmtId="0" fontId="5" fillId="15" borderId="27" xfId="6" applyFont="1" applyFill="1" applyBorder="1" applyAlignment="1">
      <alignment horizontal="left" vertical="center" wrapText="1"/>
    </xf>
    <xf numFmtId="0" fontId="5" fillId="15" borderId="19" xfId="6" applyFont="1" applyFill="1" applyBorder="1" applyAlignment="1">
      <alignment horizontal="left" vertical="center" wrapText="1"/>
    </xf>
    <xf numFmtId="0" fontId="5" fillId="15" borderId="18" xfId="6" applyFont="1" applyFill="1" applyBorder="1" applyAlignment="1">
      <alignment horizontal="left" vertical="center" wrapText="1"/>
    </xf>
    <xf numFmtId="0" fontId="3" fillId="4" borderId="2" xfId="6" applyFont="1" applyFill="1" applyBorder="1" applyAlignment="1">
      <alignment horizontal="left" vertical="center" wrapText="1"/>
    </xf>
    <xf numFmtId="0" fontId="3" fillId="3" borderId="2" xfId="6" applyFont="1" applyFill="1" applyBorder="1" applyAlignment="1">
      <alignment vertical="center" wrapText="1"/>
    </xf>
    <xf numFmtId="0" fontId="9" fillId="0" borderId="0" xfId="8" applyAlignment="1">
      <alignment horizontal="left" vertical="center" wrapText="1"/>
    </xf>
    <xf numFmtId="0" fontId="9" fillId="0" borderId="0" xfId="8"/>
    <xf numFmtId="0" fontId="5" fillId="0" borderId="0" xfId="8" applyFont="1" applyAlignment="1">
      <alignment horizontal="left" vertical="center"/>
    </xf>
    <xf numFmtId="164" fontId="2" fillId="2" borderId="1" xfId="6" applyNumberFormat="1" applyFont="1" applyFill="1" applyBorder="1" applyAlignment="1">
      <alignment horizontal="left" vertical="center" wrapText="1"/>
    </xf>
    <xf numFmtId="0" fontId="2" fillId="2" borderId="1" xfId="9" applyFont="1" applyFill="1" applyBorder="1" applyAlignment="1">
      <alignment horizontal="left" vertical="center" wrapText="1"/>
    </xf>
    <xf numFmtId="0" fontId="2" fillId="2" borderId="1" xfId="6" applyFont="1" applyFill="1" applyBorder="1" applyAlignment="1">
      <alignment horizontal="left" vertical="center" wrapText="1"/>
    </xf>
    <xf numFmtId="0" fontId="1" fillId="2" borderId="1" xfId="6" applyFont="1" applyFill="1" applyBorder="1" applyAlignment="1">
      <alignment horizontal="left" vertical="center" wrapText="1"/>
    </xf>
    <xf numFmtId="0" fontId="1" fillId="2" borderId="1" xfId="9" applyFont="1" applyFill="1" applyBorder="1" applyAlignment="1">
      <alignment horizontal="left" vertical="center" wrapText="1"/>
    </xf>
    <xf numFmtId="0" fontId="1" fillId="2" borderId="1" xfId="6" applyFont="1" applyFill="1" applyBorder="1" applyAlignment="1" applyProtection="1">
      <alignment horizontal="left" vertical="center" wrapText="1"/>
      <protection locked="0"/>
    </xf>
    <xf numFmtId="0" fontId="1" fillId="2" borderId="1" xfId="10" applyFont="1" applyFill="1" applyBorder="1" applyAlignment="1" applyProtection="1">
      <alignment horizontal="left" vertical="center"/>
      <protection locked="0"/>
    </xf>
    <xf numFmtId="0" fontId="1" fillId="2" borderId="1" xfId="10" applyFont="1" applyFill="1" applyBorder="1">
      <alignment vertical="center"/>
    </xf>
    <xf numFmtId="0" fontId="1" fillId="2" borderId="1" xfId="6" applyFont="1" applyFill="1" applyBorder="1" applyAlignment="1" applyProtection="1">
      <alignment horizontal="left" vertical="center"/>
      <protection locked="0"/>
    </xf>
    <xf numFmtId="0" fontId="1" fillId="2" borderId="1" xfId="6" applyFont="1" applyFill="1" applyBorder="1" applyAlignment="1">
      <alignment vertical="center"/>
    </xf>
    <xf numFmtId="0" fontId="8" fillId="0" borderId="0" xfId="6" applyFont="1" applyAlignment="1">
      <alignment horizontal="left" vertical="center"/>
    </xf>
    <xf numFmtId="0" fontId="1" fillId="2" borderId="1" xfId="6" applyFont="1" applyFill="1" applyBorder="1" applyAlignment="1">
      <alignment horizontal="left" vertical="center"/>
    </xf>
    <xf numFmtId="0" fontId="1" fillId="2" borderId="1" xfId="9" applyFont="1" applyFill="1" applyBorder="1" applyAlignment="1" applyProtection="1">
      <alignment horizontal="left" vertical="center" wrapText="1"/>
      <protection locked="0"/>
    </xf>
    <xf numFmtId="0" fontId="9" fillId="0" borderId="0" xfId="7"/>
    <xf numFmtId="0" fontId="9" fillId="0" borderId="0" xfId="7" applyAlignment="1">
      <alignment vertical="center"/>
    </xf>
    <xf numFmtId="0" fontId="9" fillId="0" borderId="0" xfId="7" applyAlignment="1">
      <alignment horizontal="center" vertical="center"/>
    </xf>
    <xf numFmtId="0" fontId="9" fillId="0" borderId="0" xfId="7" applyProtection="1">
      <protection locked="0"/>
    </xf>
    <xf numFmtId="0" fontId="4" fillId="8" borderId="15" xfId="7" applyFont="1" applyFill="1" applyBorder="1" applyAlignment="1">
      <alignment horizontal="left" vertical="center" wrapText="1"/>
    </xf>
    <xf numFmtId="0" fontId="4" fillId="13" borderId="14" xfId="7" applyFont="1" applyFill="1" applyBorder="1" applyAlignment="1">
      <alignment horizontal="left" vertical="center" wrapText="1"/>
    </xf>
    <xf numFmtId="0" fontId="4" fillId="0" borderId="14" xfId="7" applyFont="1" applyBorder="1" applyAlignment="1">
      <alignment horizontal="left" vertical="center" wrapText="1"/>
    </xf>
    <xf numFmtId="0" fontId="4" fillId="0" borderId="10" xfId="7" applyFont="1" applyBorder="1" applyAlignment="1">
      <alignment horizontal="left" vertical="center" wrapText="1"/>
    </xf>
    <xf numFmtId="0" fontId="4" fillId="0" borderId="24" xfId="7" applyFont="1" applyBorder="1" applyAlignment="1">
      <alignment horizontal="left" vertical="center" wrapText="1"/>
    </xf>
    <xf numFmtId="0" fontId="4" fillId="13" borderId="9" xfId="7" applyFont="1" applyFill="1" applyBorder="1" applyAlignment="1">
      <alignment horizontal="left" vertical="center" wrapText="1"/>
    </xf>
    <xf numFmtId="0" fontId="4" fillId="0" borderId="9" xfId="7" applyFont="1" applyBorder="1" applyAlignment="1">
      <alignment horizontal="left" vertical="center" wrapText="1"/>
    </xf>
    <xf numFmtId="0" fontId="4" fillId="0" borderId="20" xfId="7" applyFont="1" applyBorder="1" applyAlignment="1">
      <alignment horizontal="left" vertical="center" wrapText="1"/>
    </xf>
    <xf numFmtId="0" fontId="4" fillId="0" borderId="7" xfId="7" applyFont="1" applyBorder="1" applyAlignment="1">
      <alignment horizontal="left" vertical="center" wrapText="1"/>
    </xf>
    <xf numFmtId="0" fontId="4" fillId="13" borderId="1" xfId="7" applyFont="1" applyFill="1" applyBorder="1" applyAlignment="1">
      <alignment horizontal="left" vertical="center" wrapText="1"/>
    </xf>
    <xf numFmtId="0" fontId="4" fillId="0" borderId="1" xfId="7" applyFont="1" applyBorder="1" applyAlignment="1">
      <alignment horizontal="left" vertical="center" wrapText="1"/>
    </xf>
    <xf numFmtId="0" fontId="4" fillId="0" borderId="6" xfId="7" applyFont="1" applyBorder="1" applyAlignment="1">
      <alignment horizontal="left" vertical="center" wrapText="1"/>
    </xf>
    <xf numFmtId="0" fontId="4" fillId="0" borderId="7" xfId="7" applyFont="1" applyBorder="1" applyAlignment="1">
      <alignment horizontal="left" vertical="center"/>
    </xf>
    <xf numFmtId="164" fontId="4" fillId="13" borderId="1" xfId="7" applyNumberFormat="1" applyFont="1" applyFill="1" applyBorder="1" applyAlignment="1">
      <alignment horizontal="left" vertical="center" wrapText="1"/>
    </xf>
    <xf numFmtId="0" fontId="9" fillId="0" borderId="7" xfId="7" applyBorder="1" applyAlignment="1">
      <alignment horizontal="left" vertical="center" wrapText="1"/>
    </xf>
    <xf numFmtId="0" fontId="4" fillId="13" borderId="1" xfId="7" applyFont="1" applyFill="1" applyBorder="1" applyAlignment="1">
      <alignment horizontal="left" vertical="center"/>
    </xf>
    <xf numFmtId="0" fontId="5" fillId="0" borderId="7" xfId="7" applyFont="1" applyBorder="1" applyAlignment="1">
      <alignment horizontal="left" vertical="center" wrapText="1"/>
    </xf>
    <xf numFmtId="0" fontId="5" fillId="13" borderId="1" xfId="7" applyFont="1" applyFill="1" applyBorder="1" applyAlignment="1">
      <alignment horizontal="left" vertical="center"/>
    </xf>
    <xf numFmtId="0" fontId="5" fillId="0" borderId="1" xfId="7" applyFont="1" applyBorder="1" applyAlignment="1">
      <alignment horizontal="left" vertical="center" wrapText="1"/>
    </xf>
    <xf numFmtId="0" fontId="5" fillId="0" borderId="6" xfId="7" applyFont="1" applyBorder="1" applyAlignment="1">
      <alignment horizontal="left" vertical="center" wrapText="1"/>
    </xf>
    <xf numFmtId="0" fontId="9" fillId="13" borderId="1" xfId="7" applyFill="1" applyBorder="1" applyAlignment="1">
      <alignment horizontal="left" vertical="center" wrapText="1"/>
    </xf>
    <xf numFmtId="0" fontId="9" fillId="0" borderId="1" xfId="7" applyBorder="1" applyAlignment="1">
      <alignment horizontal="left" vertical="center" wrapText="1"/>
    </xf>
    <xf numFmtId="0" fontId="9" fillId="0" borderId="6" xfId="7" applyBorder="1" applyAlignment="1">
      <alignment horizontal="left" vertical="center" wrapText="1"/>
    </xf>
    <xf numFmtId="0" fontId="9" fillId="13" borderId="1" xfId="7" applyFill="1" applyBorder="1" applyAlignment="1">
      <alignment horizontal="left" vertical="center"/>
    </xf>
    <xf numFmtId="0" fontId="9" fillId="0" borderId="0" xfId="7" applyAlignment="1">
      <alignment wrapText="1"/>
    </xf>
    <xf numFmtId="0" fontId="7" fillId="11" borderId="10" xfId="7" applyFont="1" applyFill="1" applyBorder="1" applyAlignment="1">
      <alignment vertical="center"/>
    </xf>
    <xf numFmtId="0" fontId="5" fillId="13" borderId="1" xfId="7" applyFont="1" applyFill="1" applyBorder="1" applyAlignment="1">
      <alignment horizontal="left" vertical="center" wrapText="1"/>
    </xf>
    <xf numFmtId="0" fontId="4" fillId="8" borderId="7" xfId="7" applyFont="1" applyFill="1" applyBorder="1" applyAlignment="1">
      <alignment horizontal="left" vertical="center" wrapText="1"/>
    </xf>
    <xf numFmtId="0" fontId="4" fillId="14" borderId="1" xfId="7" applyFont="1" applyFill="1" applyBorder="1" applyAlignment="1">
      <alignment horizontal="left" vertical="center" wrapText="1"/>
    </xf>
    <xf numFmtId="0" fontId="4" fillId="0" borderId="1" xfId="7" applyFont="1" applyBorder="1" applyAlignment="1">
      <alignment horizontal="left" vertical="center"/>
    </xf>
    <xf numFmtId="0" fontId="9" fillId="6" borderId="7" xfId="7" applyFill="1" applyBorder="1" applyAlignment="1">
      <alignment horizontal="left" vertical="center" wrapText="1"/>
    </xf>
    <xf numFmtId="0" fontId="9" fillId="15" borderId="1" xfId="7" applyFill="1" applyBorder="1" applyAlignment="1">
      <alignment horizontal="left" vertical="center" wrapText="1"/>
    </xf>
    <xf numFmtId="0" fontId="9" fillId="15" borderId="6" xfId="7" applyFill="1" applyBorder="1" applyAlignment="1">
      <alignment horizontal="left" vertical="center" wrapText="1"/>
    </xf>
    <xf numFmtId="0" fontId="9" fillId="8" borderId="24" xfId="7" applyFill="1" applyBorder="1" applyAlignment="1">
      <alignment horizontal="left" vertical="center" wrapText="1"/>
    </xf>
    <xf numFmtId="0" fontId="9" fillId="14" borderId="9" xfId="7" applyFill="1" applyBorder="1" applyAlignment="1">
      <alignment horizontal="left" vertical="center" wrapText="1"/>
    </xf>
    <xf numFmtId="0" fontId="9" fillId="0" borderId="9" xfId="7" applyBorder="1" applyAlignment="1">
      <alignment horizontal="left" vertical="center" wrapText="1"/>
    </xf>
    <xf numFmtId="0" fontId="9" fillId="0" borderId="20" xfId="7" applyBorder="1" applyAlignment="1">
      <alignment horizontal="left" vertical="center" wrapText="1"/>
    </xf>
    <xf numFmtId="0" fontId="9" fillId="8" borderId="7" xfId="7" applyFill="1" applyBorder="1" applyAlignment="1">
      <alignment horizontal="left" vertical="center" wrapText="1"/>
    </xf>
    <xf numFmtId="0" fontId="9" fillId="14" borderId="1" xfId="7" applyFill="1" applyBorder="1" applyAlignment="1">
      <alignment horizontal="left" vertical="center" wrapText="1"/>
    </xf>
    <xf numFmtId="0" fontId="4" fillId="0" borderId="15" xfId="7" applyFont="1" applyBorder="1" applyAlignment="1">
      <alignment horizontal="left" vertical="center" wrapText="1"/>
    </xf>
    <xf numFmtId="0" fontId="4" fillId="0" borderId="10" xfId="7" applyFont="1" applyBorder="1" applyAlignment="1">
      <alignment vertical="center" wrapText="1"/>
    </xf>
    <xf numFmtId="0" fontId="4" fillId="0" borderId="6" xfId="7" applyFont="1" applyBorder="1" applyAlignment="1">
      <alignment vertical="center" wrapText="1"/>
    </xf>
    <xf numFmtId="0" fontId="9" fillId="0" borderId="0" xfId="7" applyAlignment="1">
      <alignment horizontal="left" vertical="center" wrapText="1"/>
    </xf>
    <xf numFmtId="0" fontId="9" fillId="0" borderId="7" xfId="7" applyBorder="1" applyAlignment="1">
      <alignment horizontal="left" vertical="center"/>
    </xf>
    <xf numFmtId="0" fontId="9" fillId="0" borderId="7" xfId="7" quotePrefix="1" applyBorder="1" applyAlignment="1">
      <alignment horizontal="left" vertical="center" wrapText="1"/>
    </xf>
    <xf numFmtId="0" fontId="4" fillId="0" borderId="0" xfId="7" applyFont="1" applyAlignment="1">
      <alignment horizontal="left" vertical="center" wrapText="1"/>
    </xf>
    <xf numFmtId="0" fontId="9" fillId="0" borderId="8" xfId="7" applyBorder="1" applyAlignment="1">
      <alignment horizontal="left" vertical="center" wrapText="1"/>
    </xf>
    <xf numFmtId="0" fontId="5" fillId="0" borderId="29" xfId="7" applyFont="1" applyBorder="1" applyAlignment="1">
      <alignment horizontal="left" vertical="center" wrapText="1"/>
    </xf>
    <xf numFmtId="0" fontId="5" fillId="0" borderId="14" xfId="7" applyFont="1" applyBorder="1" applyAlignment="1">
      <alignment horizontal="left"/>
    </xf>
    <xf numFmtId="0" fontId="5" fillId="8" borderId="14" xfId="7" applyFont="1" applyFill="1" applyBorder="1" applyAlignment="1">
      <alignment horizontal="left" vertical="center" wrapText="1"/>
    </xf>
    <xf numFmtId="0" fontId="5" fillId="0" borderId="14" xfId="7" applyFont="1" applyBorder="1" applyAlignment="1">
      <alignment horizontal="left" vertical="center" wrapText="1"/>
    </xf>
    <xf numFmtId="0" fontId="5" fillId="0" borderId="14" xfId="7" applyFont="1" applyBorder="1" applyAlignment="1">
      <alignment horizontal="left" vertical="center"/>
    </xf>
    <xf numFmtId="0" fontId="5" fillId="0" borderId="10" xfId="7" applyFont="1" applyBorder="1" applyAlignment="1">
      <alignment horizontal="left" vertical="center" wrapText="1"/>
    </xf>
    <xf numFmtId="2" fontId="4" fillId="13" borderId="11" xfId="7" applyNumberFormat="1" applyFont="1" applyFill="1" applyBorder="1" applyAlignment="1">
      <alignment horizontal="left" vertical="center" wrapText="1"/>
    </xf>
    <xf numFmtId="0" fontId="5" fillId="0" borderId="25" xfId="7" applyFont="1" applyBorder="1" applyAlignment="1">
      <alignment horizontal="left" vertical="center" wrapText="1"/>
    </xf>
    <xf numFmtId="0" fontId="5" fillId="0" borderId="1" xfId="7" applyFont="1" applyBorder="1" applyAlignment="1">
      <alignment horizontal="left" vertical="center"/>
    </xf>
    <xf numFmtId="0" fontId="5" fillId="8" borderId="1" xfId="7" applyFont="1" applyFill="1" applyBorder="1" applyAlignment="1">
      <alignment horizontal="left" vertical="center" wrapText="1"/>
    </xf>
    <xf numFmtId="0" fontId="4" fillId="13" borderId="11" xfId="7" applyFont="1" applyFill="1" applyBorder="1" applyAlignment="1">
      <alignment horizontal="left" vertical="center" wrapText="1"/>
    </xf>
    <xf numFmtId="0" fontId="9" fillId="6" borderId="7" xfId="7" applyFill="1" applyBorder="1" applyAlignment="1">
      <alignment vertical="center" wrapText="1"/>
    </xf>
    <xf numFmtId="0" fontId="9" fillId="15" borderId="1" xfId="7" applyFill="1" applyBorder="1" applyAlignment="1">
      <alignment vertical="center" wrapText="1"/>
    </xf>
    <xf numFmtId="0" fontId="9" fillId="15" borderId="6" xfId="7" applyFill="1" applyBorder="1" applyAlignment="1">
      <alignment vertical="center" wrapText="1"/>
    </xf>
    <xf numFmtId="0" fontId="9" fillId="15" borderId="7" xfId="7" applyFill="1" applyBorder="1" applyAlignment="1">
      <alignment horizontal="left" vertical="center" wrapText="1"/>
    </xf>
    <xf numFmtId="0" fontId="5" fillId="15" borderId="27" xfId="7" applyFont="1" applyFill="1" applyBorder="1" applyAlignment="1">
      <alignment horizontal="left" vertical="center" wrapText="1"/>
    </xf>
    <xf numFmtId="0" fontId="5" fillId="15" borderId="19" xfId="7" applyFont="1" applyFill="1" applyBorder="1" applyAlignment="1">
      <alignment horizontal="left" vertical="center" wrapText="1"/>
    </xf>
    <xf numFmtId="0" fontId="5" fillId="15" borderId="18" xfId="7" applyFont="1" applyFill="1" applyBorder="1" applyAlignment="1">
      <alignment horizontal="left" vertical="center" wrapText="1"/>
    </xf>
    <xf numFmtId="0" fontId="3" fillId="4" borderId="2" xfId="7" applyFont="1" applyFill="1" applyBorder="1" applyAlignment="1">
      <alignment horizontal="left" vertical="center" wrapText="1"/>
    </xf>
    <xf numFmtId="0" fontId="3" fillId="3" borderId="2" xfId="7" applyFont="1" applyFill="1" applyBorder="1" applyAlignment="1">
      <alignment vertical="center" wrapText="1"/>
    </xf>
    <xf numFmtId="164" fontId="2" fillId="2" borderId="1" xfId="7" applyNumberFormat="1" applyFont="1" applyFill="1" applyBorder="1" applyAlignment="1">
      <alignment horizontal="left" vertical="center" wrapText="1"/>
    </xf>
    <xf numFmtId="0" fontId="2" fillId="2" borderId="1" xfId="7" applyFont="1" applyFill="1" applyBorder="1" applyAlignment="1">
      <alignment horizontal="left" vertical="center" wrapText="1"/>
    </xf>
    <xf numFmtId="0" fontId="1" fillId="2" borderId="1" xfId="7" applyFont="1" applyFill="1" applyBorder="1" applyAlignment="1">
      <alignment horizontal="left" vertical="center" wrapText="1"/>
    </xf>
    <xf numFmtId="0" fontId="1" fillId="2" borderId="1" xfId="7" applyFont="1" applyFill="1" applyBorder="1" applyAlignment="1" applyProtection="1">
      <alignment horizontal="left" vertical="center" wrapText="1"/>
      <protection locked="0"/>
    </xf>
    <xf numFmtId="0" fontId="1" fillId="2" borderId="1" xfId="7" applyFont="1" applyFill="1" applyBorder="1" applyAlignment="1" applyProtection="1">
      <alignment horizontal="left" vertical="center"/>
      <protection locked="0"/>
    </xf>
    <xf numFmtId="0" fontId="1" fillId="2" borderId="1" xfId="7" applyFont="1" applyFill="1" applyBorder="1" applyAlignment="1">
      <alignment vertical="center"/>
    </xf>
    <xf numFmtId="0" fontId="8" fillId="0" borderId="0" xfId="7" applyFont="1" applyAlignment="1">
      <alignment horizontal="left" vertical="center"/>
    </xf>
    <xf numFmtId="0" fontId="1" fillId="2" borderId="1" xfId="7" applyFont="1" applyFill="1" applyBorder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3" fillId="5" borderId="35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3" fillId="5" borderId="30" xfId="0" applyFont="1" applyFill="1" applyBorder="1" applyAlignment="1">
      <alignment horizontal="center" vertical="center" wrapText="1"/>
    </xf>
    <xf numFmtId="0" fontId="3" fillId="5" borderId="31" xfId="0" applyFont="1" applyFill="1" applyBorder="1" applyAlignment="1">
      <alignment horizontal="center" vertical="center" wrapText="1"/>
    </xf>
    <xf numFmtId="0" fontId="3" fillId="5" borderId="27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 wrapText="1"/>
    </xf>
    <xf numFmtId="0" fontId="4" fillId="2" borderId="32" xfId="0" applyFont="1" applyFill="1" applyBorder="1" applyAlignment="1">
      <alignment horizontal="center" vertical="center" wrapText="1"/>
    </xf>
    <xf numFmtId="0" fontId="4" fillId="2" borderId="33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5" borderId="16" xfId="0" applyFont="1" applyFill="1" applyBorder="1" applyAlignment="1">
      <alignment horizontal="center" vertical="center" wrapText="1"/>
    </xf>
    <xf numFmtId="0" fontId="3" fillId="5" borderId="17" xfId="0" applyFont="1" applyFill="1" applyBorder="1" applyAlignment="1">
      <alignment horizontal="center" vertical="center" wrapText="1"/>
    </xf>
    <xf numFmtId="0" fontId="3" fillId="5" borderId="26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25" xfId="0" applyFont="1" applyFill="1" applyBorder="1" applyAlignment="1">
      <alignment horizontal="center" vertical="center" wrapText="1"/>
    </xf>
    <xf numFmtId="0" fontId="6" fillId="11" borderId="3" xfId="0" applyFont="1" applyFill="1" applyBorder="1" applyAlignment="1">
      <alignment horizontal="left" vertical="center"/>
    </xf>
    <xf numFmtId="0" fontId="6" fillId="11" borderId="4" xfId="0" applyFont="1" applyFill="1" applyBorder="1" applyAlignment="1">
      <alignment horizontal="left" vertical="center"/>
    </xf>
    <xf numFmtId="0" fontId="6" fillId="11" borderId="5" xfId="0" applyFont="1" applyFill="1" applyBorder="1" applyAlignment="1">
      <alignment horizontal="left" vertical="center"/>
    </xf>
    <xf numFmtId="0" fontId="7" fillId="11" borderId="14" xfId="0" applyFont="1" applyFill="1" applyBorder="1" applyAlignment="1">
      <alignment horizontal="left" vertical="center"/>
    </xf>
    <xf numFmtId="164" fontId="7" fillId="11" borderId="14" xfId="0" applyNumberFormat="1" applyFont="1" applyFill="1" applyBorder="1" applyAlignment="1">
      <alignment horizontal="left" vertical="center"/>
    </xf>
    <xf numFmtId="164" fontId="7" fillId="11" borderId="15" xfId="0" applyNumberFormat="1" applyFont="1" applyFill="1" applyBorder="1" applyAlignment="1">
      <alignment horizontal="left" vertical="center"/>
    </xf>
    <xf numFmtId="0" fontId="9" fillId="0" borderId="0" xfId="6" applyAlignment="1">
      <alignment horizontal="center" vertical="center"/>
    </xf>
    <xf numFmtId="0" fontId="4" fillId="2" borderId="6" xfId="6" applyFont="1" applyFill="1" applyBorder="1" applyAlignment="1">
      <alignment horizontal="center" vertical="center" wrapText="1"/>
    </xf>
    <xf numFmtId="0" fontId="4" fillId="2" borderId="1" xfId="6" applyFont="1" applyFill="1" applyBorder="1" applyAlignment="1">
      <alignment horizontal="center" vertical="center" wrapText="1"/>
    </xf>
    <xf numFmtId="0" fontId="4" fillId="2" borderId="7" xfId="6" applyFont="1" applyFill="1" applyBorder="1" applyAlignment="1">
      <alignment horizontal="center" vertical="center" wrapText="1"/>
    </xf>
    <xf numFmtId="0" fontId="5" fillId="2" borderId="12" xfId="6" applyFont="1" applyFill="1" applyBorder="1" applyAlignment="1">
      <alignment horizontal="center" vertical="center" wrapText="1"/>
    </xf>
    <xf numFmtId="0" fontId="5" fillId="2" borderId="13" xfId="6" applyFont="1" applyFill="1" applyBorder="1" applyAlignment="1">
      <alignment horizontal="center" vertical="center" wrapText="1"/>
    </xf>
    <xf numFmtId="0" fontId="5" fillId="2" borderId="25" xfId="6" applyFont="1" applyFill="1" applyBorder="1" applyAlignment="1">
      <alignment horizontal="center" vertical="center" wrapText="1"/>
    </xf>
    <xf numFmtId="0" fontId="6" fillId="11" borderId="3" xfId="6" applyFont="1" applyFill="1" applyBorder="1" applyAlignment="1">
      <alignment horizontal="left" vertical="center"/>
    </xf>
    <xf numFmtId="0" fontId="6" fillId="11" borderId="4" xfId="6" applyFont="1" applyFill="1" applyBorder="1" applyAlignment="1">
      <alignment horizontal="left" vertical="center"/>
    </xf>
    <xf numFmtId="0" fontId="6" fillId="11" borderId="5" xfId="6" applyFont="1" applyFill="1" applyBorder="1" applyAlignment="1">
      <alignment horizontal="left" vertical="center"/>
    </xf>
    <xf numFmtId="0" fontId="7" fillId="11" borderId="14" xfId="6" applyFont="1" applyFill="1" applyBorder="1" applyAlignment="1">
      <alignment horizontal="left" vertical="center"/>
    </xf>
    <xf numFmtId="164" fontId="7" fillId="11" borderId="14" xfId="6" applyNumberFormat="1" applyFont="1" applyFill="1" applyBorder="1" applyAlignment="1">
      <alignment horizontal="left" vertical="center"/>
    </xf>
    <xf numFmtId="164" fontId="7" fillId="11" borderId="15" xfId="6" applyNumberFormat="1" applyFont="1" applyFill="1" applyBorder="1" applyAlignment="1">
      <alignment horizontal="left" vertical="center"/>
    </xf>
    <xf numFmtId="0" fontId="4" fillId="2" borderId="21" xfId="6" applyFont="1" applyFill="1" applyBorder="1" applyAlignment="1">
      <alignment horizontal="center" vertical="center" wrapText="1"/>
    </xf>
    <xf numFmtId="0" fontId="4" fillId="2" borderId="22" xfId="6" applyFont="1" applyFill="1" applyBorder="1" applyAlignment="1">
      <alignment horizontal="center" vertical="center" wrapText="1"/>
    </xf>
    <xf numFmtId="0" fontId="4" fillId="2" borderId="23" xfId="6" applyFont="1" applyFill="1" applyBorder="1" applyAlignment="1">
      <alignment horizontal="center" vertical="center" wrapText="1"/>
    </xf>
    <xf numFmtId="0" fontId="4" fillId="2" borderId="12" xfId="6" applyFont="1" applyFill="1" applyBorder="1" applyAlignment="1">
      <alignment horizontal="center" vertical="center" wrapText="1"/>
    </xf>
    <xf numFmtId="0" fontId="4" fillId="2" borderId="13" xfId="6" applyFont="1" applyFill="1" applyBorder="1" applyAlignment="1">
      <alignment horizontal="center" vertical="center" wrapText="1"/>
    </xf>
    <xf numFmtId="0" fontId="4" fillId="2" borderId="25" xfId="6" applyFont="1" applyFill="1" applyBorder="1" applyAlignment="1">
      <alignment horizontal="center" vertical="center" wrapText="1"/>
    </xf>
    <xf numFmtId="0" fontId="4" fillId="2" borderId="3" xfId="6" applyFont="1" applyFill="1" applyBorder="1" applyAlignment="1">
      <alignment horizontal="center" vertical="center" wrapText="1"/>
    </xf>
    <xf numFmtId="0" fontId="4" fillId="2" borderId="4" xfId="6" applyFont="1" applyFill="1" applyBorder="1" applyAlignment="1">
      <alignment horizontal="center" vertical="center" wrapText="1"/>
    </xf>
    <xf numFmtId="0" fontId="4" fillId="2" borderId="5" xfId="6" applyFont="1" applyFill="1" applyBorder="1" applyAlignment="1">
      <alignment horizontal="center" vertical="center" wrapText="1"/>
    </xf>
    <xf numFmtId="0" fontId="3" fillId="16" borderId="3" xfId="6" applyFont="1" applyFill="1" applyBorder="1" applyAlignment="1">
      <alignment horizontal="center" vertical="center" wrapText="1"/>
    </xf>
    <xf numFmtId="0" fontId="3" fillId="16" borderId="4" xfId="6" applyFont="1" applyFill="1" applyBorder="1" applyAlignment="1">
      <alignment horizontal="center" vertical="center" wrapText="1"/>
    </xf>
    <xf numFmtId="0" fontId="3" fillId="16" borderId="5" xfId="6" applyFont="1" applyFill="1" applyBorder="1" applyAlignment="1">
      <alignment horizontal="center" vertical="center" wrapText="1"/>
    </xf>
    <xf numFmtId="0" fontId="3" fillId="16" borderId="16" xfId="6" applyFont="1" applyFill="1" applyBorder="1" applyAlignment="1">
      <alignment horizontal="center" vertical="center" wrapText="1"/>
    </xf>
    <xf numFmtId="0" fontId="3" fillId="16" borderId="17" xfId="6" applyFont="1" applyFill="1" applyBorder="1" applyAlignment="1">
      <alignment horizontal="center" vertical="center" wrapText="1"/>
    </xf>
    <xf numFmtId="0" fontId="3" fillId="16" borderId="26" xfId="6" applyFont="1" applyFill="1" applyBorder="1" applyAlignment="1">
      <alignment horizontal="center" vertical="center" wrapText="1"/>
    </xf>
    <xf numFmtId="0" fontId="9" fillId="0" borderId="0" xfId="7" applyAlignment="1">
      <alignment horizontal="center" vertical="center"/>
    </xf>
    <xf numFmtId="0" fontId="5" fillId="2" borderId="12" xfId="7" applyFont="1" applyFill="1" applyBorder="1" applyAlignment="1">
      <alignment horizontal="center" vertical="center" wrapText="1"/>
    </xf>
    <xf numFmtId="0" fontId="5" fillId="2" borderId="13" xfId="7" applyFont="1" applyFill="1" applyBorder="1" applyAlignment="1">
      <alignment horizontal="center" vertical="center" wrapText="1"/>
    </xf>
    <xf numFmtId="0" fontId="5" fillId="2" borderId="25" xfId="7" applyFont="1" applyFill="1" applyBorder="1" applyAlignment="1">
      <alignment horizontal="center" vertical="center" wrapText="1"/>
    </xf>
    <xf numFmtId="0" fontId="6" fillId="11" borderId="3" xfId="7" applyFont="1" applyFill="1" applyBorder="1" applyAlignment="1">
      <alignment horizontal="left" vertical="center"/>
    </xf>
    <xf numFmtId="0" fontId="6" fillId="11" borderId="4" xfId="7" applyFont="1" applyFill="1" applyBorder="1" applyAlignment="1">
      <alignment horizontal="left" vertical="center"/>
    </xf>
    <xf numFmtId="0" fontId="6" fillId="11" borderId="5" xfId="7" applyFont="1" applyFill="1" applyBorder="1" applyAlignment="1">
      <alignment horizontal="left" vertical="center"/>
    </xf>
    <xf numFmtId="0" fontId="7" fillId="11" borderId="14" xfId="7" applyFont="1" applyFill="1" applyBorder="1" applyAlignment="1">
      <alignment horizontal="left" vertical="center"/>
    </xf>
    <xf numFmtId="164" fontId="7" fillId="11" borderId="14" xfId="7" applyNumberFormat="1" applyFont="1" applyFill="1" applyBorder="1" applyAlignment="1">
      <alignment horizontal="left" vertical="center"/>
    </xf>
    <xf numFmtId="164" fontId="7" fillId="11" borderId="15" xfId="7" applyNumberFormat="1" applyFont="1" applyFill="1" applyBorder="1" applyAlignment="1">
      <alignment horizontal="left" vertical="center"/>
    </xf>
    <xf numFmtId="0" fontId="4" fillId="2" borderId="6" xfId="7" applyFont="1" applyFill="1" applyBorder="1" applyAlignment="1">
      <alignment horizontal="center" vertical="center" wrapText="1"/>
    </xf>
    <xf numFmtId="0" fontId="4" fillId="2" borderId="1" xfId="7" applyFont="1" applyFill="1" applyBorder="1" applyAlignment="1">
      <alignment horizontal="center" vertical="center" wrapText="1"/>
    </xf>
    <xf numFmtId="0" fontId="4" fillId="2" borderId="7" xfId="7" applyFont="1" applyFill="1" applyBorder="1" applyAlignment="1">
      <alignment horizontal="center" vertical="center" wrapText="1"/>
    </xf>
    <xf numFmtId="0" fontId="4" fillId="2" borderId="12" xfId="7" applyFont="1" applyFill="1" applyBorder="1" applyAlignment="1">
      <alignment horizontal="center" vertical="center" wrapText="1"/>
    </xf>
    <xf numFmtId="0" fontId="4" fillId="2" borderId="13" xfId="7" applyFont="1" applyFill="1" applyBorder="1" applyAlignment="1">
      <alignment horizontal="center" vertical="center" wrapText="1"/>
    </xf>
    <xf numFmtId="0" fontId="4" fillId="2" borderId="25" xfId="7" applyFont="1" applyFill="1" applyBorder="1" applyAlignment="1">
      <alignment horizontal="center" vertical="center" wrapText="1"/>
    </xf>
    <xf numFmtId="0" fontId="3" fillId="16" borderId="3" xfId="7" applyFont="1" applyFill="1" applyBorder="1" applyAlignment="1">
      <alignment horizontal="center" vertical="center" wrapText="1"/>
    </xf>
    <xf numFmtId="0" fontId="3" fillId="16" borderId="4" xfId="7" applyFont="1" applyFill="1" applyBorder="1" applyAlignment="1">
      <alignment horizontal="center" vertical="center" wrapText="1"/>
    </xf>
    <xf numFmtId="0" fontId="3" fillId="16" borderId="5" xfId="7" applyFont="1" applyFill="1" applyBorder="1" applyAlignment="1">
      <alignment horizontal="center" vertical="center" wrapText="1"/>
    </xf>
    <xf numFmtId="0" fontId="3" fillId="16" borderId="16" xfId="7" applyFont="1" applyFill="1" applyBorder="1" applyAlignment="1">
      <alignment horizontal="center" vertical="center" wrapText="1"/>
    </xf>
    <xf numFmtId="0" fontId="3" fillId="16" borderId="17" xfId="7" applyFont="1" applyFill="1" applyBorder="1" applyAlignment="1">
      <alignment horizontal="center" vertical="center" wrapText="1"/>
    </xf>
    <xf numFmtId="0" fontId="3" fillId="16" borderId="26" xfId="7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11">
    <cellStyle name="Standaard" xfId="0" builtinId="0"/>
    <cellStyle name="常规 2" xfId="2" xr:uid="{00000000-0005-0000-0000-000002000000}"/>
    <cellStyle name="常规 2 2" xfId="7" xr:uid="{00000000-0005-0000-0000-000003000000}"/>
    <cellStyle name="常规 3" xfId="3" xr:uid="{00000000-0005-0000-0000-000004000000}"/>
    <cellStyle name="常规 3 2" xfId="10" xr:uid="{00000000-0005-0000-0000-000005000000}"/>
    <cellStyle name="常规 4" xfId="4" xr:uid="{00000000-0005-0000-0000-000006000000}"/>
    <cellStyle name="常规 4 2" xfId="8" xr:uid="{00000000-0005-0000-0000-000007000000}"/>
    <cellStyle name="常规 5" xfId="6" xr:uid="{00000000-0005-0000-0000-000008000000}"/>
    <cellStyle name="常规_Sheet1" xfId="5" xr:uid="{00000000-0005-0000-0000-000009000000}"/>
    <cellStyle name="常规_Sheet1 2" xfId="9" xr:uid="{00000000-0005-0000-0000-00000A000000}"/>
    <cellStyle name="標準 102" xfId="1" xr:uid="{00000000-0005-0000-0000-000000000000}"/>
  </cellStyles>
  <dxfs count="0"/>
  <tableStyles count="0" defaultTableStyle="TableStyleMedium2" defaultPivotStyle="PivotStyleMedium9"/>
  <colors>
    <mruColors>
      <color rgb="FFFFFF00"/>
      <color rgb="FFEAEF21"/>
      <color rgb="FFDDDDDD"/>
      <color rgb="FFEAEA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336176</xdr:colOff>
      <xdr:row>46</xdr:row>
      <xdr:rowOff>84042</xdr:rowOff>
    </xdr:from>
    <xdr:to>
      <xdr:col>18</xdr:col>
      <xdr:colOff>1400736</xdr:colOff>
      <xdr:row>89</xdr:row>
      <xdr:rowOff>44823</xdr:rowOff>
    </xdr:to>
    <xdr:sp macro="" textlink="">
      <xdr:nvSpPr>
        <xdr:cNvPr id="2" name="文本框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3747115" y="18495645"/>
          <a:ext cx="9046210" cy="733298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zh-CN" sz="1100"/>
            <a:t>1</a:t>
          </a:r>
          <a:r>
            <a:rPr lang="zh-CN" altLang="en-US" sz="1100"/>
            <a:t>、</a:t>
          </a:r>
          <a:r>
            <a:rPr lang="zh-CN" altLang="en-US" sz="1100" b="1"/>
            <a:t>行暂停：</a:t>
          </a:r>
          <a:r>
            <a:rPr lang="zh-CN" altLang="en-US" sz="1100"/>
            <a:t>在读出期间（</a:t>
          </a:r>
          <a:r>
            <a:rPr lang="zh-CN" altLang="en-US" sz="1100">
              <a:solidFill>
                <a:srgbClr val="FF0000"/>
              </a:solidFill>
            </a:rPr>
            <a:t>风险区外</a:t>
          </a:r>
          <a:r>
            <a:rPr lang="zh-CN" altLang="en-US" sz="1100"/>
            <a:t>）产生曝光，会产生一段时间为</a:t>
          </a:r>
          <a:r>
            <a:rPr lang="en-US" altLang="zh-CN" sz="1100"/>
            <a:t>6</a:t>
          </a:r>
          <a:r>
            <a:rPr lang="zh-CN" altLang="en-US" sz="1100"/>
            <a:t>行的低电平，此时实际读出时间为（</a:t>
          </a:r>
          <a:r>
            <a:rPr lang="en-US" altLang="zh-CN" sz="1100"/>
            <a:t>5120+6</a:t>
          </a:r>
          <a:r>
            <a:rPr lang="zh-CN" altLang="en-US" sz="1100"/>
            <a:t>）行（影响读出时间）</a:t>
          </a:r>
          <a:endParaRPr lang="en-US" altLang="zh-CN" sz="1100"/>
        </a:p>
        <a:p>
          <a:r>
            <a:rPr lang="zh-CN" altLang="en-US" sz="1100"/>
            <a:t>解决方案：</a:t>
          </a:r>
          <a:endParaRPr lang="en-US" altLang="zh-CN" sz="1100"/>
        </a:p>
        <a:p>
          <a:r>
            <a:rPr lang="en-US" altLang="zh-CN" sz="1100" strike="noStrike"/>
            <a:t>1</a:t>
          </a:r>
          <a:r>
            <a:rPr lang="zh-CN" altLang="en-US" sz="1100" strike="noStrike"/>
            <a:t>）</a:t>
          </a:r>
          <a:r>
            <a:rPr lang="zh-CN" altLang="en-US" sz="1100" strike="noStrike" baseline="0"/>
            <a:t>曝光时间决定帧周期时，不考虑临界点，此时为交叠曝光，最小交叠曝光限制后，</a:t>
          </a:r>
          <a:r>
            <a:rPr lang="zh-CN" altLang="zh-CN" sz="1100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实际读出时间为（</a:t>
          </a:r>
          <a:r>
            <a:rPr lang="en-US" altLang="zh-CN" sz="1100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5120+6</a:t>
          </a:r>
          <a:r>
            <a:rPr lang="zh-CN" altLang="zh-CN" sz="1100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）行</a:t>
          </a:r>
          <a:endParaRPr lang="en-US" altLang="zh-CN" sz="1100" strike="noStrike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lang="en-US" altLang="zh-CN" sz="1100"/>
            <a:t>2</a:t>
          </a:r>
          <a:r>
            <a:rPr lang="zh-CN" altLang="en-US" sz="1100"/>
            <a:t>）</a:t>
          </a:r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其他情况下，找到交叠曝光与非交叠曝光的临界点，若实际曝光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&lt;</a:t>
          </a:r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临界点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P30</a:t>
          </a:r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，则未产生行暂停，读出时间为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5120</a:t>
          </a:r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*行周期；否则产生了行暂停，读出时间为（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5120+6</a:t>
          </a:r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）*行周期</a:t>
          </a:r>
          <a:endParaRPr lang="en-US" altLang="zh-CN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</a:t>
          </a:r>
          <a:r>
            <a:rPr lang="zh-CN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）更改了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ROI</a:t>
          </a:r>
          <a:r>
            <a:rPr lang="zh-CN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之后，也不会影响以上结论</a:t>
          </a:r>
          <a:endParaRPr lang="en-US" altLang="zh-CN" sz="1100"/>
        </a:p>
        <a:p>
          <a:endParaRPr lang="en-US" altLang="zh-CN" sz="1100"/>
        </a:p>
        <a:p>
          <a:endParaRPr lang="en-US" altLang="zh-CN" sz="1100"/>
        </a:p>
        <a:p>
          <a:endParaRPr lang="en-US" altLang="zh-CN" sz="110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lang="en-US" altLang="zh-CN" sz="1100" b="1"/>
            <a:t>2</a:t>
          </a:r>
          <a:r>
            <a:rPr lang="zh-CN" altLang="en-US" sz="1100" b="1"/>
            <a:t>、</a:t>
          </a:r>
          <a:r>
            <a:rPr lang="en-US" altLang="zh-CN" sz="1100" b="1"/>
            <a:t>risky_duration</a:t>
          </a:r>
          <a:r>
            <a:rPr lang="zh-CN" altLang="en-US" sz="1100"/>
            <a:t>：风险区间，若在最后两行产生曝光，曝光可能会异常</a:t>
          </a:r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</a:t>
          </a:r>
          <a:r>
            <a:rPr lang="zh-CN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影响帧周期</a:t>
          </a:r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</a:t>
          </a:r>
          <a:endParaRPr lang="en-US" altLang="zh-CN" sz="1100"/>
        </a:p>
        <a:p>
          <a:r>
            <a:rPr lang="zh-CN" altLang="en-US" sz="1100"/>
            <a:t>解决方案：</a:t>
          </a:r>
          <a:endParaRPr lang="en-US" altLang="zh-CN" sz="1100"/>
        </a:p>
        <a:p>
          <a:r>
            <a:rPr lang="zh-CN" altLang="en-US" sz="1100"/>
            <a:t>前后两行各留出</a:t>
          </a:r>
          <a:r>
            <a:rPr lang="en-US" altLang="zh-CN" sz="1100"/>
            <a:t>2</a:t>
          </a:r>
          <a:r>
            <a:rPr lang="zh-CN" altLang="en-US" sz="1100"/>
            <a:t>行裕量，禁止在风险区前后两行内</a:t>
          </a:r>
          <a:endParaRPr lang="en-US" altLang="zh-CN" sz="1100"/>
        </a:p>
        <a:p>
          <a:r>
            <a:rPr lang="en-US" altLang="zh-CN" sz="1100"/>
            <a:t>1</a:t>
          </a:r>
          <a:r>
            <a:rPr lang="zh-CN" altLang="en-US" sz="1100"/>
            <a:t>）</a:t>
          </a:r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曝光时间决定帧周期时，不考虑</a:t>
          </a:r>
          <a:r>
            <a:rPr lang="zh-CN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风险区</a:t>
          </a:r>
          <a:endParaRPr lang="en-US" altLang="zh-CN" sz="1100"/>
        </a:p>
        <a:p>
          <a:r>
            <a:rPr lang="en-US" altLang="zh-CN" sz="1100"/>
            <a:t>2</a:t>
          </a:r>
          <a:r>
            <a:rPr lang="zh-CN" altLang="en-US" sz="1100"/>
            <a:t>）其他情况下，若实际曝光时间在风险区</a:t>
          </a:r>
          <a:r>
            <a:rPr lang="en-US" altLang="zh-CN" sz="1100"/>
            <a:t>[risky_duration2</a:t>
          </a:r>
          <a:r>
            <a:rPr lang="zh-CN" altLang="en-US" sz="1100"/>
            <a:t>：</a:t>
          </a:r>
          <a:r>
            <a:rPr lang="en-US" altLang="zh-CN" sz="1100"/>
            <a:t>risky_duration1]</a:t>
          </a:r>
          <a:r>
            <a:rPr lang="zh-CN" altLang="en-US" sz="1100"/>
            <a:t>内，则将帧周期增加（实际曝光</a:t>
          </a:r>
          <a:r>
            <a:rPr lang="en-US" altLang="zh-CN" sz="1100"/>
            <a:t>-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risky_duration2+1</a:t>
          </a:r>
          <a:r>
            <a:rPr lang="zh-CN" altLang="en-US" sz="1100"/>
            <a:t>）</a:t>
          </a:r>
          <a:r>
            <a:rPr lang="en-US" altLang="zh-CN" sz="1100"/>
            <a:t>us</a:t>
          </a:r>
        </a:p>
        <a:p>
          <a:endParaRPr lang="en-US" altLang="zh-CN" sz="1100"/>
        </a:p>
        <a:p>
          <a:r>
            <a:rPr lang="en-US" altLang="zh-CN" sz="1100" b="1"/>
            <a:t>3</a:t>
          </a:r>
          <a:r>
            <a:rPr lang="zh-CN" altLang="en-US" sz="1100" b="1"/>
            <a:t>、交叠曝光下最小触发间隔</a:t>
          </a:r>
          <a:endParaRPr lang="en-US" altLang="zh-CN" sz="1100" b="1"/>
        </a:p>
        <a:p>
          <a:endParaRPr lang="en-US" altLang="zh-CN" sz="1100"/>
        </a:p>
        <a:p>
          <a:r>
            <a:rPr lang="zh-CN" altLang="en-US" sz="1100"/>
            <a:t>当曝光时间决定帧周期时，为确保曝光起始点在读出期间，要在原帧周期基础上加</a:t>
          </a:r>
          <a:r>
            <a:rPr lang="en-US" altLang="zh-CN" sz="1100"/>
            <a:t>1us</a:t>
          </a:r>
        </a:p>
        <a:p>
          <a:endParaRPr lang="en-US" altLang="zh-CN" sz="1100"/>
        </a:p>
        <a:p>
          <a:endParaRPr lang="en-US" altLang="zh-CN" sz="1100"/>
        </a:p>
        <a:p>
          <a:r>
            <a:rPr lang="en-US" altLang="zh-CN" sz="1100" b="1"/>
            <a:t>4</a:t>
          </a:r>
          <a:r>
            <a:rPr lang="zh-CN" altLang="en-US" sz="1100" b="1"/>
            <a:t>、风险区与行暂停的迭代关系</a:t>
          </a:r>
          <a:endParaRPr lang="en-US" altLang="zh-CN" sz="1100" b="1"/>
        </a:p>
        <a:p>
          <a:r>
            <a:rPr lang="en-US" altLang="zh-CN" sz="1100"/>
            <a:t>1</a:t>
          </a:r>
          <a:r>
            <a:rPr lang="zh-CN" altLang="en-US" sz="1100"/>
            <a:t>）行暂停影响风险区</a:t>
          </a:r>
          <a:endParaRPr lang="en-US" altLang="zh-CN" sz="1100"/>
        </a:p>
        <a:p>
          <a:r>
            <a:rPr lang="zh-CN" altLang="en-US" sz="1100"/>
            <a:t>（</a:t>
          </a:r>
          <a:r>
            <a:rPr lang="en-US" altLang="zh-CN" sz="1100"/>
            <a:t>a</a:t>
          </a:r>
          <a:r>
            <a:rPr lang="zh-CN" altLang="en-US" sz="1100"/>
            <a:t>）若读出时间决定帧周期，见</a:t>
          </a:r>
          <a:r>
            <a:rPr lang="en-US" altLang="zh-CN" sz="1100"/>
            <a:t>5</a:t>
          </a:r>
          <a:r>
            <a:rPr lang="zh-CN" altLang="en-US" sz="1100"/>
            <a:t>；</a:t>
          </a:r>
          <a:endParaRPr lang="en-US" altLang="zh-CN" sz="110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</a:t>
          </a:r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</a:t>
          </a:r>
          <a:r>
            <a:rPr lang="zh-CN" altLang="en-US" sz="1100"/>
            <a:t>若读出时间不决定帧周期，若此时产生行暂停，帧周期加</a:t>
          </a:r>
          <a:r>
            <a:rPr lang="en-US" altLang="zh-CN" sz="1100"/>
            <a:t>6</a:t>
          </a:r>
          <a:r>
            <a:rPr lang="zh-CN" altLang="en-US" sz="1100"/>
            <a:t>行，曝光起始点不变，风险期向后偏移</a:t>
          </a:r>
          <a:r>
            <a:rPr lang="en-US" altLang="zh-CN" sz="1100"/>
            <a:t>6</a:t>
          </a:r>
          <a:r>
            <a:rPr lang="zh-CN" altLang="en-US" sz="1100"/>
            <a:t>行，曝光起始点与风险期的位置增大了</a:t>
          </a:r>
          <a:r>
            <a:rPr lang="en-US" altLang="zh-CN" sz="1100"/>
            <a:t>6</a:t>
          </a:r>
          <a:r>
            <a:rPr lang="zh-CN" altLang="en-US" sz="1100"/>
            <a:t>行；</a:t>
          </a:r>
          <a:endParaRPr lang="en-US" altLang="zh-CN" sz="110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lang="en-US" altLang="zh-CN" sz="1100"/>
            <a:t>2</a:t>
          </a:r>
          <a:r>
            <a:rPr lang="zh-CN" altLang="en-US" sz="1100"/>
            <a:t>）</a:t>
          </a:r>
          <a:r>
            <a:rPr lang="zh-CN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风险区影响行暂停</a:t>
          </a:r>
          <a:endParaRPr lang="en-US" altLang="zh-CN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</a:t>
          </a:r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</a:t>
          </a:r>
          <a:r>
            <a:rPr lang="zh-CN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先处理风险区，如果曝光起始点落在风险区，增大帧周期，移出风险区，此时不会产生行暂停；</a:t>
          </a:r>
          <a:endParaRPr lang="zh-CN" altLang="zh-CN">
            <a:effectLst/>
          </a:endParaRPr>
        </a:p>
        <a:p>
          <a:pPr eaLnBrk="1" fontAlgn="auto" latinLnBrk="0" hangingPunct="1"/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</a:t>
          </a:r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</a:t>
          </a:r>
          <a:r>
            <a:rPr lang="zh-CN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在风险区内不判断行暂停，即风险区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lang="zh-CN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非交叠时一定不会产生行暂停</a:t>
          </a:r>
          <a:endParaRPr lang="zh-CN" altLang="zh-CN">
            <a:effectLst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endParaRPr lang="en-US" altLang="zh-CN">
            <a:effectLst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lang="en-US" altLang="zh-CN" b="1">
              <a:effectLst/>
            </a:rPr>
            <a:t>5</a:t>
          </a:r>
          <a:r>
            <a:rPr lang="zh-CN" altLang="en-US" b="1">
              <a:effectLst/>
            </a:rPr>
            <a:t>、</a:t>
          </a:r>
          <a:r>
            <a:rPr lang="zh-CN" altLang="zh-CN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读出时间决定帧周期</a:t>
          </a:r>
          <a:r>
            <a:rPr lang="zh-CN" alt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时，此时产生行暂停</a:t>
          </a:r>
          <a:endParaRPr lang="en-US" altLang="zh-CN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lang="zh-CN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分析：因将要产生行暂停，要设置的读出时间增大，从而导致待设置的帧周期增大，从而导致曝光起始向后延迟，经过计算，此时会产生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</a:t>
          </a:r>
          <a:r>
            <a:rPr lang="zh-CN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种情况</a:t>
          </a:r>
          <a:endParaRPr lang="en-US" altLang="zh-CN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zh-CN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）新的曝光起始点在在风险区前（即行暂停区）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</a:t>
          </a:r>
          <a:r>
            <a:rPr lang="zh-CN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：此时读出时间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+6</a:t>
          </a:r>
          <a:r>
            <a:rPr lang="zh-CN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行，帧周期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+6</a:t>
          </a:r>
          <a:r>
            <a:rPr lang="zh-CN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行</a:t>
          </a:r>
          <a:endParaRPr lang="en-US" altLang="zh-CN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zh-CN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</a:t>
          </a:r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新的曝光起始点在在风险区</a:t>
          </a:r>
          <a:r>
            <a:rPr lang="zh-CN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中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	</a:t>
          </a:r>
          <a:r>
            <a:rPr lang="zh-CN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：此时需要再算一遍风险区间，将帧周期增大，使其移出风险区</a:t>
          </a:r>
          <a:endParaRPr lang="en-US" altLang="zh-CN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</a:t>
          </a:r>
          <a:r>
            <a:rPr lang="zh-CN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</a:t>
          </a:r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新的曝光起始点在在风险区</a:t>
          </a:r>
          <a:r>
            <a:rPr lang="zh-CN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后</a:t>
          </a:r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（即</a:t>
          </a:r>
          <a:r>
            <a:rPr lang="zh-CN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非交叠区</a:t>
          </a:r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</a:t>
          </a:r>
          <a:r>
            <a:rPr lang="zh-CN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：此时</a:t>
          </a:r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读出时间不加，帧周期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+6</a:t>
          </a:r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行</a:t>
          </a:r>
          <a:endParaRPr lang="zh-CN" altLang="zh-CN">
            <a:effectLst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W100"/>
  <sheetViews>
    <sheetView zoomScale="85" zoomScaleNormal="85" workbookViewId="0">
      <selection activeCell="I21" sqref="I21"/>
    </sheetView>
  </sheetViews>
  <sheetFormatPr defaultColWidth="9" defaultRowHeight="15"/>
  <cols>
    <col min="1" max="1" width="16.42578125" customWidth="1"/>
    <col min="2" max="2" width="11.7109375" customWidth="1"/>
    <col min="3" max="3" width="14.85546875" customWidth="1"/>
    <col min="4" max="4" width="11" customWidth="1"/>
    <col min="5" max="5" width="6.7109375" customWidth="1"/>
    <col min="6" max="6" width="4.42578125" customWidth="1"/>
    <col min="7" max="7" width="17.7109375" customWidth="1"/>
    <col min="8" max="8" width="15.7109375" customWidth="1"/>
    <col min="9" max="9" width="54.42578125" customWidth="1"/>
    <col min="10" max="10" width="18.28515625" customWidth="1"/>
    <col min="11" max="12" width="4.42578125" customWidth="1"/>
    <col min="13" max="13" width="19.28515625" customWidth="1"/>
    <col min="14" max="14" width="16" customWidth="1"/>
    <col min="15" max="15" width="43.42578125" customWidth="1"/>
    <col min="16" max="16" width="10.28515625" customWidth="1"/>
    <col min="17" max="17" width="6.42578125" customWidth="1"/>
    <col min="18" max="18" width="4.85546875" customWidth="1"/>
    <col min="19" max="19" width="23.42578125" customWidth="1"/>
    <col min="20" max="20" width="9.140625" customWidth="1"/>
    <col min="21" max="21" width="14" customWidth="1"/>
    <col min="22" max="22" width="23.5703125" customWidth="1"/>
    <col min="23" max="23" width="17.28515625" customWidth="1"/>
    <col min="24" max="24" width="10.42578125" customWidth="1"/>
    <col min="25" max="25" width="9.42578125" customWidth="1"/>
    <col min="26" max="26" width="10.42578125" customWidth="1"/>
    <col min="27" max="27" width="10.140625" customWidth="1"/>
    <col min="28" max="29" width="11.28515625" customWidth="1"/>
    <col min="30" max="30" width="18.42578125" customWidth="1"/>
    <col min="31" max="33" width="19.85546875" customWidth="1"/>
    <col min="34" max="34" width="13.85546875" customWidth="1"/>
    <col min="35" max="35" width="14.42578125" customWidth="1"/>
    <col min="36" max="36" width="19.7109375" customWidth="1"/>
    <col min="37" max="37" width="10.5703125" customWidth="1"/>
    <col min="38" max="38" width="9.7109375" customWidth="1"/>
    <col min="39" max="39" width="8.42578125" customWidth="1"/>
    <col min="40" max="40" width="9.85546875" customWidth="1"/>
    <col min="41" max="41" width="19.85546875" customWidth="1"/>
    <col min="42" max="42" width="18.7109375" customWidth="1"/>
    <col min="43" max="43" width="19.42578125" customWidth="1"/>
    <col min="45" max="45" width="15.28515625" customWidth="1"/>
    <col min="46" max="46" width="11.5703125" customWidth="1"/>
    <col min="47" max="47" width="20.7109375" customWidth="1"/>
    <col min="48" max="48" width="17.42578125" customWidth="1"/>
    <col min="49" max="49" width="21.5703125" customWidth="1"/>
  </cols>
  <sheetData>
    <row r="2" spans="1:49" ht="30">
      <c r="A2" s="15" t="s">
        <v>0</v>
      </c>
      <c r="B2" s="15" t="s">
        <v>1</v>
      </c>
      <c r="C2" s="16" t="s">
        <v>2</v>
      </c>
      <c r="D2" s="17"/>
      <c r="E2" s="17"/>
      <c r="F2" s="17"/>
      <c r="G2" s="314" t="s">
        <v>3</v>
      </c>
      <c r="H2" s="315"/>
      <c r="I2" s="315"/>
      <c r="J2" s="315"/>
      <c r="K2" s="316"/>
      <c r="L2" s="36"/>
      <c r="M2" s="314" t="s">
        <v>4</v>
      </c>
      <c r="N2" s="315"/>
      <c r="O2" s="315"/>
      <c r="P2" s="315"/>
      <c r="Q2" s="316"/>
      <c r="R2" s="36"/>
      <c r="S2" s="317" t="s">
        <v>5</v>
      </c>
      <c r="T2" s="318"/>
      <c r="U2" s="318"/>
      <c r="V2" s="318"/>
      <c r="W2" s="318"/>
      <c r="X2" s="318"/>
      <c r="Y2" s="318"/>
      <c r="Z2" s="318"/>
      <c r="AA2" s="318"/>
      <c r="AB2" s="318"/>
      <c r="AC2" s="318"/>
      <c r="AD2" s="318"/>
      <c r="AE2" s="318"/>
      <c r="AF2" s="318"/>
      <c r="AG2" s="318"/>
      <c r="AH2" s="318"/>
      <c r="AI2" s="318"/>
      <c r="AJ2" s="318"/>
      <c r="AK2" s="318"/>
      <c r="AL2" s="318"/>
      <c r="AM2" s="318"/>
      <c r="AN2" s="318"/>
      <c r="AO2" s="318"/>
      <c r="AP2" s="318"/>
      <c r="AQ2" s="318"/>
      <c r="AR2" s="318"/>
      <c r="AS2" s="318"/>
      <c r="AT2" s="318"/>
      <c r="AU2" s="318"/>
      <c r="AV2" s="318"/>
      <c r="AW2" s="318"/>
    </row>
    <row r="3" spans="1:49" ht="45">
      <c r="A3" s="319" t="s">
        <v>6</v>
      </c>
      <c r="B3" s="320"/>
      <c r="C3" s="320"/>
      <c r="D3" s="321"/>
      <c r="E3" s="17"/>
      <c r="F3" s="17"/>
      <c r="G3" s="322" t="s">
        <v>7</v>
      </c>
      <c r="H3" s="323"/>
      <c r="I3" s="323"/>
      <c r="J3" s="323"/>
      <c r="K3" s="324"/>
      <c r="L3" s="36"/>
      <c r="M3" s="322" t="s">
        <v>8</v>
      </c>
      <c r="N3" s="323"/>
      <c r="O3" s="323"/>
      <c r="P3" s="323"/>
      <c r="Q3" s="324"/>
      <c r="R3" s="36"/>
      <c r="S3" s="121" t="s">
        <v>9</v>
      </c>
      <c r="T3" s="121" t="s">
        <v>10</v>
      </c>
      <c r="U3" s="121" t="s">
        <v>11</v>
      </c>
      <c r="V3" s="121" t="s">
        <v>12</v>
      </c>
      <c r="W3" s="121" t="s">
        <v>13</v>
      </c>
      <c r="X3" s="121" t="s">
        <v>14</v>
      </c>
      <c r="Y3" s="121" t="s">
        <v>15</v>
      </c>
      <c r="Z3" s="121" t="s">
        <v>16</v>
      </c>
      <c r="AA3" s="121" t="s">
        <v>17</v>
      </c>
      <c r="AB3" s="121" t="s">
        <v>18</v>
      </c>
      <c r="AC3" s="121" t="s">
        <v>19</v>
      </c>
      <c r="AD3" s="121" t="s">
        <v>20</v>
      </c>
      <c r="AE3" s="121" t="s">
        <v>21</v>
      </c>
      <c r="AF3" s="121" t="s">
        <v>22</v>
      </c>
      <c r="AG3" s="121" t="s">
        <v>23</v>
      </c>
      <c r="AH3" s="121" t="s">
        <v>24</v>
      </c>
      <c r="AI3" s="121" t="s">
        <v>25</v>
      </c>
      <c r="AJ3" s="121" t="s">
        <v>26</v>
      </c>
      <c r="AK3" s="121" t="s">
        <v>27</v>
      </c>
      <c r="AL3" s="121" t="s">
        <v>28</v>
      </c>
      <c r="AM3" s="121" t="s">
        <v>29</v>
      </c>
      <c r="AN3" s="121" t="s">
        <v>30</v>
      </c>
      <c r="AO3" s="121" t="s">
        <v>31</v>
      </c>
      <c r="AP3" s="121" t="s">
        <v>32</v>
      </c>
      <c r="AQ3" s="121" t="s">
        <v>33</v>
      </c>
      <c r="AR3" s="121" t="s">
        <v>34</v>
      </c>
      <c r="AS3" s="121" t="s">
        <v>35</v>
      </c>
      <c r="AT3" s="121" t="s">
        <v>36</v>
      </c>
      <c r="AU3" s="121" t="s">
        <v>37</v>
      </c>
      <c r="AV3" s="125" t="s">
        <v>38</v>
      </c>
      <c r="AW3" s="128" t="s">
        <v>39</v>
      </c>
    </row>
    <row r="4" spans="1:49" ht="30">
      <c r="A4" s="18" t="s">
        <v>40</v>
      </c>
      <c r="B4" s="19" t="s">
        <v>41</v>
      </c>
      <c r="C4" s="19" t="s">
        <v>42</v>
      </c>
      <c r="D4" s="20" t="s">
        <v>43</v>
      </c>
      <c r="E4" s="17"/>
      <c r="F4" s="17"/>
      <c r="G4" s="21" t="s">
        <v>40</v>
      </c>
      <c r="H4" s="37" t="s">
        <v>41</v>
      </c>
      <c r="I4" s="37" t="s">
        <v>44</v>
      </c>
      <c r="J4" s="37" t="s">
        <v>45</v>
      </c>
      <c r="K4" s="38" t="s">
        <v>46</v>
      </c>
      <c r="L4" s="36"/>
      <c r="M4" s="18" t="s">
        <v>40</v>
      </c>
      <c r="N4" s="19" t="s">
        <v>41</v>
      </c>
      <c r="O4" s="19" t="s">
        <v>44</v>
      </c>
      <c r="P4" s="19" t="s">
        <v>47</v>
      </c>
      <c r="Q4" s="54" t="s">
        <v>46</v>
      </c>
      <c r="R4" s="36"/>
      <c r="S4" s="56" t="s">
        <v>2</v>
      </c>
      <c r="T4" s="56" t="s">
        <v>48</v>
      </c>
      <c r="U4" s="122"/>
      <c r="V4" s="56">
        <v>8</v>
      </c>
      <c r="W4" s="122"/>
      <c r="X4" s="56">
        <v>12</v>
      </c>
      <c r="Y4" s="122"/>
      <c r="Z4" s="122"/>
      <c r="AA4" s="122"/>
      <c r="AB4" s="122"/>
      <c r="AC4" s="122"/>
      <c r="AD4" s="56">
        <v>192</v>
      </c>
      <c r="AE4" s="56">
        <v>64</v>
      </c>
      <c r="AF4" s="56">
        <v>5120</v>
      </c>
      <c r="AG4" s="56">
        <v>5120</v>
      </c>
      <c r="AH4" s="122"/>
      <c r="AI4" s="122"/>
      <c r="AJ4" s="122"/>
      <c r="AK4" s="122"/>
      <c r="AL4" s="122"/>
      <c r="AM4" s="56">
        <f>ROUNDUP(5*J5,0)</f>
        <v>51667</v>
      </c>
      <c r="AN4" s="122">
        <v>15000</v>
      </c>
      <c r="AO4" s="56" t="s">
        <v>49</v>
      </c>
      <c r="AP4" s="122"/>
      <c r="AQ4" s="122"/>
      <c r="AR4" s="56" t="s">
        <v>50</v>
      </c>
      <c r="AS4" s="56">
        <v>60000</v>
      </c>
      <c r="AT4" s="56">
        <v>72</v>
      </c>
      <c r="AU4" s="126"/>
      <c r="AV4" s="127"/>
      <c r="AW4" s="72">
        <f>IF(D6=8,124,248)</f>
        <v>124</v>
      </c>
    </row>
    <row r="5" spans="1:49" ht="30">
      <c r="A5" s="325" t="s">
        <v>51</v>
      </c>
      <c r="B5" s="326"/>
      <c r="C5" s="326"/>
      <c r="D5" s="327"/>
      <c r="E5" s="17"/>
      <c r="F5" s="17"/>
      <c r="G5" s="22" t="s">
        <v>52</v>
      </c>
      <c r="H5" s="23" t="s">
        <v>53</v>
      </c>
      <c r="I5" s="29" t="s">
        <v>54</v>
      </c>
      <c r="J5" s="42">
        <f>48*P6/(P5*8)*1000</f>
        <v>10333.333333333334</v>
      </c>
      <c r="K5" s="22" t="s">
        <v>55</v>
      </c>
      <c r="L5" s="36"/>
      <c r="M5" s="22" t="s">
        <v>56</v>
      </c>
      <c r="N5" s="23" t="s">
        <v>57</v>
      </c>
      <c r="O5" s="23" t="s">
        <v>58</v>
      </c>
      <c r="P5" s="45">
        <f>VLOOKUP($C$2,$S$4:$AU$4,28,FALSE)</f>
        <v>72</v>
      </c>
      <c r="Q5" s="40" t="s">
        <v>59</v>
      </c>
      <c r="R5" s="36"/>
      <c r="S5" s="36"/>
      <c r="T5" s="36"/>
      <c r="U5" s="36"/>
      <c r="V5" s="36"/>
      <c r="W5" s="36"/>
      <c r="X5" s="36"/>
      <c r="Y5" s="36"/>
    </row>
    <row r="6" spans="1:49" ht="105">
      <c r="A6" s="22" t="s">
        <v>60</v>
      </c>
      <c r="B6" s="23" t="s">
        <v>51</v>
      </c>
      <c r="C6" s="23">
        <v>8</v>
      </c>
      <c r="D6" s="112">
        <v>8</v>
      </c>
      <c r="E6" s="17"/>
      <c r="F6" s="17"/>
      <c r="G6" s="22" t="s">
        <v>61</v>
      </c>
      <c r="H6" s="23" t="s">
        <v>62</v>
      </c>
      <c r="I6" s="29" t="s">
        <v>63</v>
      </c>
      <c r="J6" s="42">
        <f>IF(P32=0,IF(MAX(J9,J10,J11,J12)=J10,J10+1,(MAX(J9,J10,J11,J12))),P33)</f>
        <v>53219</v>
      </c>
      <c r="K6" s="22" t="s">
        <v>64</v>
      </c>
      <c r="M6" s="22" t="s">
        <v>65</v>
      </c>
      <c r="N6" s="23" t="s">
        <v>65</v>
      </c>
      <c r="O6" s="23" t="s">
        <v>66</v>
      </c>
      <c r="P6" s="45">
        <f>VLOOKUP($C$2,$S$4:$AW$4,31,FALSE)</f>
        <v>124</v>
      </c>
      <c r="Q6" s="40"/>
      <c r="S6" s="36"/>
      <c r="T6" s="36"/>
      <c r="U6" s="36"/>
      <c r="V6" s="36"/>
      <c r="W6" s="36"/>
      <c r="X6" s="36"/>
      <c r="Y6" s="36"/>
    </row>
    <row r="7" spans="1:49">
      <c r="A7" s="325" t="s">
        <v>67</v>
      </c>
      <c r="B7" s="326"/>
      <c r="C7" s="326"/>
      <c r="D7" s="327"/>
      <c r="E7" s="17"/>
      <c r="F7" s="17"/>
      <c r="G7" s="22" t="s">
        <v>68</v>
      </c>
      <c r="H7" s="23" t="s">
        <v>7</v>
      </c>
      <c r="I7" s="29" t="s">
        <v>69</v>
      </c>
      <c r="J7" s="119">
        <f>1000000/J6</f>
        <v>18.79028166632218</v>
      </c>
      <c r="K7" s="22" t="s">
        <v>70</v>
      </c>
      <c r="M7" s="22" t="s">
        <v>71</v>
      </c>
      <c r="N7" s="23" t="s">
        <v>72</v>
      </c>
      <c r="O7" s="23" t="s">
        <v>58</v>
      </c>
      <c r="P7" s="45">
        <f>VLOOKUP($C$2,$S$4:$AU$4,21,FALSE)</f>
        <v>51667</v>
      </c>
      <c r="Q7" s="40" t="s">
        <v>55</v>
      </c>
      <c r="S7" s="36"/>
      <c r="T7" s="36"/>
      <c r="U7" s="36"/>
      <c r="V7" s="36"/>
      <c r="W7" s="36"/>
      <c r="X7" s="36"/>
      <c r="Y7" s="36"/>
    </row>
    <row r="8" spans="1:49">
      <c r="A8" s="22" t="s">
        <v>73</v>
      </c>
      <c r="B8" s="23" t="s">
        <v>67</v>
      </c>
      <c r="C8" s="23">
        <v>20000</v>
      </c>
      <c r="D8" s="112">
        <v>250</v>
      </c>
      <c r="E8" s="17"/>
      <c r="F8" s="17"/>
      <c r="G8" s="322" t="s">
        <v>74</v>
      </c>
      <c r="H8" s="323"/>
      <c r="I8" s="323"/>
      <c r="J8" s="323"/>
      <c r="K8" s="324"/>
      <c r="M8" s="22" t="s">
        <v>75</v>
      </c>
      <c r="N8" s="23" t="s">
        <v>76</v>
      </c>
      <c r="O8" s="23" t="s">
        <v>58</v>
      </c>
      <c r="P8" s="45">
        <f>VLOOKUP($C$2,$S$4:$AU$4,4,FALSE)</f>
        <v>8</v>
      </c>
      <c r="Q8" s="40"/>
      <c r="S8" s="36"/>
      <c r="T8" s="36"/>
      <c r="U8" s="36"/>
      <c r="V8" s="36"/>
      <c r="W8" s="36"/>
      <c r="X8" s="36"/>
      <c r="Y8" s="36"/>
    </row>
    <row r="9" spans="1:49" ht="105">
      <c r="A9" s="22" t="s">
        <v>77</v>
      </c>
      <c r="B9" s="23" t="s">
        <v>78</v>
      </c>
      <c r="C9" s="23">
        <v>0</v>
      </c>
      <c r="D9" s="112"/>
      <c r="E9" s="17"/>
      <c r="F9" s="17"/>
      <c r="G9" s="22" t="s">
        <v>79</v>
      </c>
      <c r="H9" s="23" t="s">
        <v>80</v>
      </c>
      <c r="I9" s="29" t="s">
        <v>81</v>
      </c>
      <c r="J9" s="42">
        <f>IF(P42=1,P43,IF(P25=1,P26,P27))</f>
        <v>53219</v>
      </c>
      <c r="K9" s="43" t="s">
        <v>64</v>
      </c>
      <c r="M9" s="22" t="s">
        <v>82</v>
      </c>
      <c r="N9" s="23" t="s">
        <v>83</v>
      </c>
      <c r="O9" s="23" t="s">
        <v>84</v>
      </c>
      <c r="P9" s="45">
        <f>IF(VLOOKUP($C$2,$S$4:$AU$4,26,FALSE)="U3",3970,IF(VLOOKUP($C$2,$S$4:$AU$4,26,FALSE)="GIGE",1250,IF(VLOOKUP($C$2,$S$4:$AU$4,26,FALSE)="10-GIGE",12500,"NULL")))</f>
        <v>3970</v>
      </c>
      <c r="Q9" s="40" t="s">
        <v>85</v>
      </c>
      <c r="S9" s="36"/>
      <c r="T9" s="36"/>
      <c r="U9" s="36"/>
      <c r="V9" s="36"/>
      <c r="W9" s="36"/>
      <c r="X9" s="36"/>
      <c r="Y9" s="36"/>
    </row>
    <row r="10" spans="1:49" ht="30">
      <c r="A10" s="328" t="s">
        <v>86</v>
      </c>
      <c r="B10" s="329"/>
      <c r="C10" s="329"/>
      <c r="D10" s="330"/>
      <c r="E10" s="17"/>
      <c r="F10" s="17"/>
      <c r="G10" s="22" t="s">
        <v>87</v>
      </c>
      <c r="H10" s="23" t="s">
        <v>88</v>
      </c>
      <c r="I10" s="29" t="s">
        <v>89</v>
      </c>
      <c r="J10" s="42">
        <f>ROUNDUP(D8-636/P5+P7/1000,0)</f>
        <v>293</v>
      </c>
      <c r="K10" s="43" t="s">
        <v>64</v>
      </c>
      <c r="M10" s="331" t="s">
        <v>90</v>
      </c>
      <c r="N10" s="332"/>
      <c r="O10" s="332"/>
      <c r="P10" s="332"/>
      <c r="Q10" s="333"/>
      <c r="S10" s="36"/>
      <c r="T10" s="36"/>
      <c r="U10" s="36"/>
      <c r="V10" s="36"/>
      <c r="W10" s="36"/>
      <c r="X10" s="123"/>
      <c r="Y10" s="36"/>
    </row>
    <row r="11" spans="1:49" ht="30">
      <c r="A11" s="113" t="s">
        <v>91</v>
      </c>
      <c r="B11" s="113" t="s">
        <v>92</v>
      </c>
      <c r="C11" s="114">
        <v>0</v>
      </c>
      <c r="D11" s="115">
        <v>0</v>
      </c>
      <c r="E11" s="17"/>
      <c r="F11" s="17"/>
      <c r="G11" s="22" t="s">
        <v>93</v>
      </c>
      <c r="H11" s="23" t="s">
        <v>94</v>
      </c>
      <c r="I11" s="23" t="s">
        <v>95</v>
      </c>
      <c r="J11" s="45">
        <f>ROUNDUP((1000000/D28)*D27,0)</f>
        <v>0</v>
      </c>
      <c r="K11" s="40" t="s">
        <v>64</v>
      </c>
      <c r="M11" s="18" t="s">
        <v>40</v>
      </c>
      <c r="N11" s="19" t="s">
        <v>41</v>
      </c>
      <c r="O11" s="19" t="s">
        <v>44</v>
      </c>
      <c r="P11" s="19" t="s">
        <v>47</v>
      </c>
      <c r="Q11" s="54" t="s">
        <v>46</v>
      </c>
      <c r="S11" s="36"/>
      <c r="T11" s="36"/>
      <c r="U11" s="36"/>
      <c r="V11" s="36"/>
      <c r="W11" s="36"/>
      <c r="X11" s="71"/>
      <c r="Y11" s="71"/>
    </row>
    <row r="12" spans="1:49" ht="75">
      <c r="A12" s="334" t="s">
        <v>96</v>
      </c>
      <c r="B12" s="334"/>
      <c r="F12" s="17"/>
      <c r="G12" s="22" t="s">
        <v>97</v>
      </c>
      <c r="H12" s="23" t="s">
        <v>98</v>
      </c>
      <c r="I12" s="23" t="s">
        <v>99</v>
      </c>
      <c r="J12" s="45">
        <f>IF(VLOOKUP($C$2,$S$4:$AU$4,26,FALSE)="U3",P19,#REF!)</f>
        <v>25794</v>
      </c>
      <c r="K12" s="40" t="s">
        <v>64</v>
      </c>
      <c r="M12" s="22" t="s">
        <v>100</v>
      </c>
      <c r="N12" s="23" t="s">
        <v>101</v>
      </c>
      <c r="O12" s="23" t="s">
        <v>102</v>
      </c>
      <c r="P12" s="45">
        <f>ROUND(IF(AND(P25=1,P44=1),(B18+6)*J5,B18*J5)/1000,0)</f>
        <v>52907</v>
      </c>
      <c r="Q12" s="40" t="s">
        <v>64</v>
      </c>
      <c r="S12" s="36"/>
      <c r="T12" s="36"/>
      <c r="U12" s="36"/>
      <c r="V12" s="36"/>
      <c r="W12" s="36"/>
      <c r="X12" s="71"/>
      <c r="Y12" s="71"/>
    </row>
    <row r="13" spans="1:49">
      <c r="A13" s="23" t="s">
        <v>103</v>
      </c>
      <c r="B13" s="23" t="s">
        <v>104</v>
      </c>
      <c r="F13" s="17"/>
      <c r="G13" s="322" t="s">
        <v>105</v>
      </c>
      <c r="H13" s="323"/>
      <c r="I13" s="323"/>
      <c r="J13" s="323"/>
      <c r="K13" s="324"/>
      <c r="M13" s="335" t="s">
        <v>106</v>
      </c>
      <c r="N13" s="336"/>
      <c r="O13" s="336"/>
      <c r="P13" s="336"/>
      <c r="Q13" s="337"/>
      <c r="S13" s="36"/>
      <c r="T13" s="36"/>
      <c r="U13" s="36"/>
      <c r="V13" s="36"/>
      <c r="W13" s="36"/>
      <c r="X13" s="71"/>
      <c r="Y13" s="71"/>
    </row>
    <row r="14" spans="1:49" ht="30">
      <c r="A14" s="23" t="s">
        <v>107</v>
      </c>
      <c r="B14" s="23" t="s">
        <v>108</v>
      </c>
      <c r="F14" s="17"/>
      <c r="G14" s="22" t="s">
        <v>109</v>
      </c>
      <c r="H14" s="23" t="s">
        <v>110</v>
      </c>
      <c r="I14" s="23"/>
      <c r="J14" s="45"/>
      <c r="K14" s="40" t="s">
        <v>64</v>
      </c>
      <c r="M14" s="18" t="s">
        <v>40</v>
      </c>
      <c r="N14" s="19" t="s">
        <v>41</v>
      </c>
      <c r="O14" s="19" t="s">
        <v>44</v>
      </c>
      <c r="P14" s="19" t="s">
        <v>47</v>
      </c>
      <c r="Q14" s="54" t="s">
        <v>46</v>
      </c>
    </row>
    <row r="15" spans="1:49" ht="30">
      <c r="A15" s="23" t="s">
        <v>111</v>
      </c>
      <c r="B15" s="24">
        <v>0</v>
      </c>
      <c r="F15" s="17"/>
      <c r="G15" s="22" t="s">
        <v>112</v>
      </c>
      <c r="H15" s="23" t="s">
        <v>113</v>
      </c>
      <c r="I15" s="23"/>
      <c r="J15" s="45"/>
      <c r="K15" s="40" t="s">
        <v>64</v>
      </c>
      <c r="M15" s="22" t="s">
        <v>114</v>
      </c>
      <c r="N15" s="23" t="s">
        <v>115</v>
      </c>
      <c r="O15" s="23">
        <v>52</v>
      </c>
      <c r="P15" s="45">
        <v>52</v>
      </c>
      <c r="Q15" s="40" t="s">
        <v>116</v>
      </c>
      <c r="R15" s="36"/>
    </row>
    <row r="16" spans="1:49" ht="30">
      <c r="A16" s="23" t="s">
        <v>117</v>
      </c>
      <c r="B16" s="24">
        <v>0</v>
      </c>
      <c r="F16" s="17"/>
      <c r="G16" s="22" t="s">
        <v>118</v>
      </c>
      <c r="H16" s="23" t="s">
        <v>119</v>
      </c>
      <c r="I16" s="23"/>
      <c r="J16" s="45"/>
      <c r="K16" s="40" t="s">
        <v>64</v>
      </c>
      <c r="M16" s="22" t="s">
        <v>120</v>
      </c>
      <c r="N16" s="23" t="s">
        <v>121</v>
      </c>
      <c r="O16" s="23" t="s">
        <v>122</v>
      </c>
      <c r="P16" s="45">
        <f>IF(D22=1,36,32)</f>
        <v>32</v>
      </c>
      <c r="Q16" s="40" t="s">
        <v>116</v>
      </c>
      <c r="R16" s="36"/>
    </row>
    <row r="17" spans="1:25" ht="30">
      <c r="A17" s="23" t="s">
        <v>123</v>
      </c>
      <c r="B17" s="24">
        <v>2000</v>
      </c>
      <c r="F17" s="17"/>
      <c r="G17" s="22" t="s">
        <v>124</v>
      </c>
      <c r="H17" s="23" t="s">
        <v>125</v>
      </c>
      <c r="I17" s="23" t="s">
        <v>126</v>
      </c>
      <c r="J17" s="45">
        <f>IF(D8&gt;100,D8,100)</f>
        <v>250</v>
      </c>
      <c r="K17" s="40" t="s">
        <v>64</v>
      </c>
      <c r="M17" s="22" t="s">
        <v>127</v>
      </c>
      <c r="N17" s="23" t="s">
        <v>128</v>
      </c>
      <c r="O17" s="23" t="s">
        <v>129</v>
      </c>
      <c r="P17" s="45">
        <f>(B17*B18+IF(C14="On",1,0)*C17*C18+IF(D14="On",1,0)*D17*D18+IF(E14="On",1,0)*E17*E18)*IF(D6=8,1,2)</f>
        <v>10240000</v>
      </c>
      <c r="Q17" s="40" t="s">
        <v>116</v>
      </c>
      <c r="R17" s="36"/>
    </row>
    <row r="18" spans="1:25" ht="45">
      <c r="A18" s="23" t="s">
        <v>130</v>
      </c>
      <c r="B18" s="24">
        <v>5120</v>
      </c>
      <c r="F18" s="17"/>
      <c r="G18" s="22" t="s">
        <v>131</v>
      </c>
      <c r="H18" s="23" t="s">
        <v>132</v>
      </c>
      <c r="I18" s="29" t="s">
        <v>133</v>
      </c>
      <c r="J18" s="45">
        <f>D11+D8-636/P5+P7/1000+J9</f>
        <v>53511.833666666666</v>
      </c>
      <c r="K18" s="40" t="s">
        <v>64</v>
      </c>
      <c r="M18" s="22" t="s">
        <v>134</v>
      </c>
      <c r="N18" s="23" t="s">
        <v>135</v>
      </c>
      <c r="O18" s="23" t="s">
        <v>136</v>
      </c>
      <c r="P18" s="45">
        <f>P17+(P15+P16+(8+16*D20+16*D21)*D22)*(IF(B14="On",1,0)+IF(C14="On",1,0)+IF(D14="On",1,0)+IF(E14="On",1,0))</f>
        <v>10240084</v>
      </c>
      <c r="Q18" s="40" t="s">
        <v>116</v>
      </c>
    </row>
    <row r="19" spans="1:25" ht="45">
      <c r="A19" s="325" t="s">
        <v>137</v>
      </c>
      <c r="B19" s="326"/>
      <c r="C19" s="326"/>
      <c r="D19" s="327"/>
      <c r="F19" s="17"/>
      <c r="G19" s="22" t="s">
        <v>138</v>
      </c>
      <c r="H19" s="23" t="s">
        <v>139</v>
      </c>
      <c r="I19" s="23" t="s">
        <v>140</v>
      </c>
      <c r="J19" s="45">
        <f>J7*P18/1000000</f>
        <v>192.4140626467991</v>
      </c>
      <c r="K19" s="40" t="s">
        <v>141</v>
      </c>
      <c r="M19" s="22" t="s">
        <v>142</v>
      </c>
      <c r="N19" s="23" t="s">
        <v>98</v>
      </c>
      <c r="O19" s="23" t="s">
        <v>143</v>
      </c>
      <c r="P19" s="45">
        <f>ROUNDUP(MAX((P18*1000000/D25)*D24,P18*10/P9),0)</f>
        <v>25794</v>
      </c>
      <c r="Q19" s="40" t="s">
        <v>64</v>
      </c>
    </row>
    <row r="20" spans="1:25" ht="45">
      <c r="A20" s="22" t="str">
        <f>IF(VLOOKUP($C$2,$S$4:$AU$4,26,FALSE)="GIGE","chunkid_en_fint","chunkid_en_ts")</f>
        <v>chunkid_en_ts</v>
      </c>
      <c r="B20" s="23" t="str">
        <f>IF(VLOOKUP($C$2,$S$4:$AU$4,24,FALSE)="GIGE","frame interval开关","时间戳开关")</f>
        <v>时间戳开关</v>
      </c>
      <c r="C20" s="23">
        <v>0</v>
      </c>
      <c r="D20" s="112">
        <v>0</v>
      </c>
      <c r="G20" s="22" t="s">
        <v>144</v>
      </c>
      <c r="H20" s="23" t="s">
        <v>145</v>
      </c>
      <c r="I20" s="120" t="s">
        <v>146</v>
      </c>
      <c r="J20" s="45">
        <f>ROUNDUP(12*J7*B17*B18/1000000,0)</f>
        <v>2309</v>
      </c>
      <c r="K20" s="40" t="s">
        <v>147</v>
      </c>
      <c r="M20" s="335" t="s">
        <v>148</v>
      </c>
      <c r="N20" s="336"/>
      <c r="O20" s="336"/>
      <c r="P20" s="336"/>
      <c r="Q20" s="337"/>
      <c r="S20" s="325" t="s">
        <v>149</v>
      </c>
      <c r="T20" s="326"/>
      <c r="U20" s="326"/>
      <c r="V20" s="326"/>
      <c r="W20" s="326"/>
      <c r="X20" s="326"/>
      <c r="Y20" s="327"/>
    </row>
    <row r="21" spans="1:25" ht="30">
      <c r="A21" s="22" t="s">
        <v>150</v>
      </c>
      <c r="B21" s="23" t="s">
        <v>151</v>
      </c>
      <c r="C21" s="23">
        <v>0</v>
      </c>
      <c r="D21" s="112">
        <v>0</v>
      </c>
      <c r="M21" s="18" t="s">
        <v>40</v>
      </c>
      <c r="N21" s="19" t="s">
        <v>41</v>
      </c>
      <c r="O21" s="19" t="s">
        <v>44</v>
      </c>
      <c r="P21" s="19" t="s">
        <v>47</v>
      </c>
      <c r="Q21" s="54" t="s">
        <v>46</v>
      </c>
      <c r="S21" s="18" t="s">
        <v>152</v>
      </c>
      <c r="T21" s="19" t="s">
        <v>153</v>
      </c>
      <c r="U21" s="19" t="s">
        <v>154</v>
      </c>
      <c r="V21" s="19" t="s">
        <v>41</v>
      </c>
      <c r="W21" s="19" t="s">
        <v>44</v>
      </c>
      <c r="X21" s="19" t="s">
        <v>47</v>
      </c>
      <c r="Y21" s="20" t="s">
        <v>155</v>
      </c>
    </row>
    <row r="22" spans="1:25" ht="60">
      <c r="A22" s="22" t="s">
        <v>156</v>
      </c>
      <c r="B22" s="23" t="s">
        <v>157</v>
      </c>
      <c r="C22" s="23">
        <v>0</v>
      </c>
      <c r="D22" s="112">
        <v>0</v>
      </c>
      <c r="M22" s="22" t="s">
        <v>158</v>
      </c>
      <c r="N22" s="23" t="s">
        <v>159</v>
      </c>
      <c r="O22" s="23" t="s">
        <v>160</v>
      </c>
      <c r="P22" s="45">
        <f>2*J5</f>
        <v>20666.666666666668</v>
      </c>
      <c r="Q22" s="40" t="s">
        <v>55</v>
      </c>
      <c r="S22" s="63" t="s">
        <v>161</v>
      </c>
      <c r="T22" s="29">
        <v>464</v>
      </c>
      <c r="U22" s="23" t="str">
        <f>"0x"&amp;DEC2HEX(T22)</f>
        <v>0x1D0</v>
      </c>
      <c r="V22" s="64" t="s">
        <v>162</v>
      </c>
      <c r="W22" s="124" t="s">
        <v>77</v>
      </c>
      <c r="X22" s="124">
        <f>D9</f>
        <v>0</v>
      </c>
      <c r="Y22" s="32" t="str">
        <f>DEC2HEX(X22)</f>
        <v>0</v>
      </c>
    </row>
    <row r="23" spans="1:25" ht="75">
      <c r="A23" s="325" t="s">
        <v>163</v>
      </c>
      <c r="B23" s="326"/>
      <c r="C23" s="326"/>
      <c r="D23" s="327"/>
      <c r="M23" s="22" t="s">
        <v>164</v>
      </c>
      <c r="N23" s="23" t="s">
        <v>165</v>
      </c>
      <c r="O23" s="23" t="s">
        <v>166</v>
      </c>
      <c r="P23" s="45">
        <f>636/P5*1000</f>
        <v>8833.3333333333339</v>
      </c>
      <c r="Q23" s="40" t="s">
        <v>55</v>
      </c>
      <c r="S23" s="63" t="s">
        <v>167</v>
      </c>
      <c r="T23" s="29">
        <v>436</v>
      </c>
      <c r="U23" s="23" t="str">
        <f>"0x"&amp;DEC2HEX(T23)</f>
        <v>0x1B4</v>
      </c>
      <c r="V23" s="64" t="s">
        <v>168</v>
      </c>
      <c r="W23" s="124" t="s">
        <v>73</v>
      </c>
      <c r="X23" s="124">
        <f>D8</f>
        <v>250</v>
      </c>
      <c r="Y23" s="32" t="str">
        <f>DEC2HEX(X23)</f>
        <v>FA</v>
      </c>
    </row>
    <row r="24" spans="1:25" ht="90">
      <c r="A24" s="22" t="s">
        <v>169</v>
      </c>
      <c r="B24" s="23" t="s">
        <v>170</v>
      </c>
      <c r="C24" s="23">
        <v>1</v>
      </c>
      <c r="D24" s="112">
        <v>0</v>
      </c>
      <c r="M24" s="22" t="s">
        <v>171</v>
      </c>
      <c r="N24" s="23" t="s">
        <v>172</v>
      </c>
      <c r="O24" s="23" t="s">
        <v>173</v>
      </c>
      <c r="P24" s="45">
        <f>ROUNDUP(((MAX(P27,J10,J11,J12))-(B18*J5+P7-P23)/1000),0)</f>
        <v>155</v>
      </c>
      <c r="Q24" s="40" t="s">
        <v>64</v>
      </c>
      <c r="S24" s="63" t="s">
        <v>174</v>
      </c>
      <c r="T24" s="29">
        <v>438</v>
      </c>
      <c r="U24" s="23" t="str">
        <f>"0x"&amp;DEC2HEX(T24)</f>
        <v>0x1B6</v>
      </c>
      <c r="V24" s="64" t="s">
        <v>175</v>
      </c>
      <c r="W24" s="124" t="s">
        <v>61</v>
      </c>
      <c r="X24" s="124">
        <f>J6</f>
        <v>53219</v>
      </c>
      <c r="Y24" s="32" t="str">
        <f>DEC2HEX(X24)</f>
        <v>CFE3</v>
      </c>
    </row>
    <row r="25" spans="1:25" ht="75">
      <c r="A25" s="22" t="s">
        <v>176</v>
      </c>
      <c r="B25" s="23" t="s">
        <v>177</v>
      </c>
      <c r="C25" s="23">
        <v>300000000</v>
      </c>
      <c r="D25" s="112">
        <v>35000000</v>
      </c>
      <c r="M25" s="22" t="s">
        <v>178</v>
      </c>
      <c r="N25" s="23" t="s">
        <v>179</v>
      </c>
      <c r="O25" s="23" t="s">
        <v>180</v>
      </c>
      <c r="P25" s="45">
        <f>IF(D8&lt;P30,0,1)</f>
        <v>1</v>
      </c>
      <c r="Q25" s="40"/>
      <c r="S25" s="63" t="s">
        <v>181</v>
      </c>
      <c r="T25" s="29">
        <v>469</v>
      </c>
      <c r="U25" s="23" t="str">
        <f>"0x"&amp;DEC2HEX(T25)</f>
        <v>0x1D5</v>
      </c>
      <c r="V25" s="64" t="s">
        <v>182</v>
      </c>
      <c r="W25" s="124" t="s">
        <v>79</v>
      </c>
      <c r="X25" s="124">
        <f>J9</f>
        <v>53219</v>
      </c>
      <c r="Y25" s="32" t="str">
        <f>DEC2HEX(X25)</f>
        <v>CFE3</v>
      </c>
    </row>
    <row r="26" spans="1:25" ht="30">
      <c r="A26" s="325" t="s">
        <v>183</v>
      </c>
      <c r="B26" s="326"/>
      <c r="C26" s="326"/>
      <c r="D26" s="327"/>
      <c r="M26" s="22" t="s">
        <v>184</v>
      </c>
      <c r="N26" s="23" t="s">
        <v>185</v>
      </c>
      <c r="O26" s="23" t="s">
        <v>186</v>
      </c>
      <c r="P26" s="45">
        <f>ROUNDUP(((B18+14+6)*J5+P7)/1000,0)</f>
        <v>53166</v>
      </c>
      <c r="Q26" s="40" t="s">
        <v>64</v>
      </c>
    </row>
    <row r="27" spans="1:25" ht="30">
      <c r="A27" s="22" t="s">
        <v>187</v>
      </c>
      <c r="B27" s="23" t="s">
        <v>188</v>
      </c>
      <c r="C27" s="23">
        <v>0</v>
      </c>
      <c r="D27" s="112">
        <v>0</v>
      </c>
      <c r="M27" s="22" t="s">
        <v>189</v>
      </c>
      <c r="N27" s="23" t="s">
        <v>190</v>
      </c>
      <c r="O27" s="23" t="s">
        <v>191</v>
      </c>
      <c r="P27" s="45">
        <f>ROUNDUP(((B18+14)*J5+P7)/1000,0)</f>
        <v>53104</v>
      </c>
      <c r="Q27" s="40" t="s">
        <v>64</v>
      </c>
    </row>
    <row r="28" spans="1:25" ht="30">
      <c r="A28" s="116" t="s">
        <v>192</v>
      </c>
      <c r="B28" s="117" t="s">
        <v>193</v>
      </c>
      <c r="C28" s="117"/>
      <c r="D28" s="118">
        <v>5</v>
      </c>
      <c r="M28" s="331" t="s">
        <v>194</v>
      </c>
      <c r="N28" s="332"/>
      <c r="O28" s="332"/>
      <c r="P28" s="332"/>
      <c r="Q28" s="333"/>
    </row>
    <row r="29" spans="1:25" ht="30">
      <c r="M29" s="18" t="s">
        <v>40</v>
      </c>
      <c r="N29" s="19" t="s">
        <v>41</v>
      </c>
      <c r="O29" s="19" t="s">
        <v>44</v>
      </c>
      <c r="P29" s="19" t="s">
        <v>47</v>
      </c>
      <c r="Q29" s="54" t="s">
        <v>46</v>
      </c>
    </row>
    <row r="30" spans="1:25" ht="30">
      <c r="M30" s="22" t="s">
        <v>195</v>
      </c>
      <c r="N30" s="23" t="s">
        <v>196</v>
      </c>
      <c r="O30" s="23" t="s">
        <v>197</v>
      </c>
      <c r="P30" s="45">
        <f>ROUNDUP(P24+4*J5/1000,0)</f>
        <v>197</v>
      </c>
      <c r="Q30" s="40" t="s">
        <v>64</v>
      </c>
    </row>
    <row r="31" spans="1:25" ht="30">
      <c r="M31" s="22" t="s">
        <v>198</v>
      </c>
      <c r="N31" s="23" t="s">
        <v>199</v>
      </c>
      <c r="O31" s="23" t="s">
        <v>200</v>
      </c>
      <c r="P31" s="45">
        <f>ROUNDUP(P24-2*J5/1000,0)</f>
        <v>135</v>
      </c>
      <c r="Q31" s="40" t="s">
        <v>64</v>
      </c>
    </row>
    <row r="32" spans="1:25" ht="30">
      <c r="M32" s="22" t="s">
        <v>201</v>
      </c>
      <c r="N32" s="23" t="s">
        <v>202</v>
      </c>
      <c r="O32" s="23" t="s">
        <v>203</v>
      </c>
      <c r="P32" s="45">
        <f>IF(AND(P31&lt;=D8,D8&lt;=P30),1,0)</f>
        <v>0</v>
      </c>
      <c r="Q32" s="40"/>
    </row>
    <row r="33" spans="9:19" ht="90">
      <c r="M33" s="22" t="s">
        <v>204</v>
      </c>
      <c r="N33" s="23" t="s">
        <v>205</v>
      </c>
      <c r="O33" s="23" t="s">
        <v>206</v>
      </c>
      <c r="P33" s="45">
        <f>IF(P32=1,(IF(MAX(J9,J10,J11,J12)=J10,0,(MAX(J9,J11,J12))+D8-P31)),0)</f>
        <v>0</v>
      </c>
      <c r="Q33" s="40" t="s">
        <v>64</v>
      </c>
    </row>
    <row r="34" spans="9:19">
      <c r="M34" s="22"/>
      <c r="N34" s="23"/>
      <c r="O34" s="23"/>
      <c r="P34" s="45"/>
      <c r="Q34" s="40"/>
    </row>
    <row r="35" spans="9:19">
      <c r="M35" s="22"/>
      <c r="N35" s="23"/>
      <c r="O35" s="23"/>
      <c r="P35" s="45"/>
      <c r="Q35" s="40"/>
      <c r="S35">
        <f>IF(P32=1,(IF(MAX(J9,J10,J11,J12)=J10,0,(MAX(J9,J11,J12))+D8-P31+J5/1000)),0)</f>
        <v>0</v>
      </c>
    </row>
    <row r="36" spans="9:19">
      <c r="M36" s="22"/>
      <c r="N36" s="23"/>
      <c r="O36" s="23"/>
      <c r="P36" s="45"/>
      <c r="Q36" s="40"/>
    </row>
    <row r="37" spans="9:19">
      <c r="M37" s="331" t="s">
        <v>207</v>
      </c>
      <c r="N37" s="332"/>
      <c r="O37" s="332"/>
      <c r="P37" s="332"/>
      <c r="Q37" s="333"/>
    </row>
    <row r="38" spans="9:19" ht="30">
      <c r="M38" s="18" t="s">
        <v>40</v>
      </c>
      <c r="N38" s="19" t="s">
        <v>41</v>
      </c>
      <c r="O38" s="19" t="s">
        <v>44</v>
      </c>
      <c r="P38" s="19" t="s">
        <v>47</v>
      </c>
      <c r="Q38" s="54" t="s">
        <v>46</v>
      </c>
    </row>
    <row r="39" spans="9:19" ht="75">
      <c r="M39" s="22" t="s">
        <v>208</v>
      </c>
      <c r="N39" s="23" t="s">
        <v>209</v>
      </c>
      <c r="O39" s="23" t="s">
        <v>173</v>
      </c>
      <c r="P39" s="45">
        <f>ROUNDUP(IF(MAX(P27,J10,J11,J12)=P27,P26-(B18*J5+P7-P23)/1000,((MAX(P27,J10,J11,J12))-(B18*J5+P7-P23)/1000)),0)</f>
        <v>217</v>
      </c>
      <c r="Q39" s="40" t="s">
        <v>64</v>
      </c>
    </row>
    <row r="40" spans="9:19" ht="30">
      <c r="I40" s="17"/>
      <c r="M40" s="22" t="s">
        <v>210</v>
      </c>
      <c r="N40" s="23" t="s">
        <v>211</v>
      </c>
      <c r="O40" s="23" t="s">
        <v>212</v>
      </c>
      <c r="P40" s="45">
        <f>ROUNDUP(P39+4*J5/1000,0)</f>
        <v>259</v>
      </c>
      <c r="Q40" s="40" t="s">
        <v>64</v>
      </c>
    </row>
    <row r="41" spans="9:19" ht="30">
      <c r="M41" s="22" t="s">
        <v>213</v>
      </c>
      <c r="N41" s="23" t="s">
        <v>214</v>
      </c>
      <c r="O41" s="23" t="s">
        <v>215</v>
      </c>
      <c r="P41" s="45">
        <f>ROUNDUP(P39-2*J5/1000,0)</f>
        <v>197</v>
      </c>
      <c r="Q41" s="40" t="s">
        <v>64</v>
      </c>
    </row>
    <row r="42" spans="9:19" ht="30">
      <c r="M42" s="22" t="s">
        <v>216</v>
      </c>
      <c r="N42" s="23" t="s">
        <v>217</v>
      </c>
      <c r="O42" s="23" t="s">
        <v>218</v>
      </c>
      <c r="P42" s="45">
        <f>IF(AND(P41&lt;=D8,D8&lt;=P40),1,0)</f>
        <v>1</v>
      </c>
      <c r="Q42" s="40"/>
    </row>
    <row r="43" spans="9:19" ht="30">
      <c r="M43" s="22" t="s">
        <v>219</v>
      </c>
      <c r="N43" s="23" t="s">
        <v>220</v>
      </c>
      <c r="O43" s="23" t="s">
        <v>221</v>
      </c>
      <c r="P43" s="45">
        <f>IF(P42=1,(P26+D8-P41),0)</f>
        <v>53219</v>
      </c>
      <c r="Q43" s="40" t="s">
        <v>64</v>
      </c>
    </row>
    <row r="44" spans="9:19" ht="30">
      <c r="M44" s="22" t="s">
        <v>222</v>
      </c>
      <c r="N44" s="23" t="s">
        <v>223</v>
      </c>
      <c r="O44" s="23" t="s">
        <v>224</v>
      </c>
      <c r="P44" s="45">
        <f>IF(D8&lt;P40,0,1)</f>
        <v>0</v>
      </c>
      <c r="Q44" s="40"/>
    </row>
    <row r="45" spans="9:19">
      <c r="M45" s="22"/>
      <c r="N45" s="23"/>
      <c r="O45" s="23"/>
      <c r="P45" s="45"/>
      <c r="Q45" s="40"/>
    </row>
    <row r="46" spans="9:19">
      <c r="M46" s="22"/>
      <c r="N46" s="23"/>
      <c r="O46" s="23"/>
      <c r="P46" s="45"/>
      <c r="Q46" s="40"/>
    </row>
    <row r="71" spans="1:9">
      <c r="G71" s="83"/>
      <c r="H71" s="338"/>
      <c r="I71" s="338"/>
    </row>
    <row r="72" spans="1:9">
      <c r="A72" s="83"/>
      <c r="B72" s="83"/>
      <c r="C72" s="83"/>
      <c r="D72" s="83"/>
      <c r="G72" s="83"/>
      <c r="H72" s="83"/>
      <c r="I72" s="83"/>
    </row>
    <row r="73" spans="1:9">
      <c r="A73" s="83"/>
      <c r="B73" s="83"/>
      <c r="C73" s="83"/>
      <c r="D73" s="83"/>
      <c r="G73" s="83"/>
      <c r="H73" s="83"/>
      <c r="I73" s="83"/>
    </row>
    <row r="74" spans="1:9">
      <c r="A74" s="83"/>
      <c r="B74" s="83"/>
      <c r="C74" s="83"/>
      <c r="D74" s="83"/>
      <c r="G74" s="83"/>
      <c r="H74" s="83"/>
      <c r="I74" s="83"/>
    </row>
    <row r="75" spans="1:9">
      <c r="A75" s="83"/>
      <c r="B75" s="83"/>
      <c r="C75" s="83"/>
      <c r="D75" s="83"/>
      <c r="E75" s="84"/>
      <c r="G75" s="83"/>
      <c r="H75" s="83"/>
      <c r="I75" s="83"/>
    </row>
    <row r="76" spans="1:9">
      <c r="A76" s="83"/>
      <c r="B76" s="83"/>
      <c r="C76" s="83"/>
      <c r="D76" s="83"/>
      <c r="E76" s="83"/>
      <c r="F76" s="84"/>
      <c r="G76" s="83"/>
      <c r="H76" s="338"/>
      <c r="I76" s="338"/>
    </row>
    <row r="77" spans="1:9">
      <c r="A77" s="83"/>
      <c r="B77" s="83"/>
      <c r="C77" s="83"/>
      <c r="D77" s="83"/>
      <c r="E77" s="83"/>
      <c r="F77" s="83"/>
      <c r="G77" s="83"/>
      <c r="H77" s="83"/>
      <c r="I77" s="83"/>
    </row>
    <row r="78" spans="1:9">
      <c r="A78" s="83"/>
      <c r="B78" s="83"/>
      <c r="C78" s="83"/>
      <c r="D78" s="83"/>
      <c r="E78" s="83"/>
      <c r="F78" s="83"/>
      <c r="G78" s="83"/>
      <c r="H78" s="83"/>
      <c r="I78" s="83"/>
    </row>
    <row r="79" spans="1:9">
      <c r="A79" s="84"/>
      <c r="B79" s="84"/>
      <c r="C79" s="83"/>
      <c r="D79" s="83"/>
      <c r="E79" s="83"/>
      <c r="F79" s="83"/>
      <c r="G79" s="83"/>
      <c r="H79" s="83"/>
      <c r="I79" s="83"/>
    </row>
    <row r="80" spans="1:9">
      <c r="A80" s="83"/>
      <c r="B80" s="84"/>
      <c r="C80" s="83"/>
      <c r="D80" s="83"/>
      <c r="E80" s="83"/>
      <c r="F80" s="83"/>
      <c r="G80" s="83"/>
      <c r="H80" s="83"/>
      <c r="I80" s="83"/>
    </row>
    <row r="81" spans="1:9">
      <c r="A81" s="83"/>
      <c r="B81" s="84"/>
      <c r="C81" s="83"/>
      <c r="D81" s="83"/>
      <c r="E81" s="83"/>
      <c r="F81" s="83"/>
      <c r="G81" s="83"/>
      <c r="H81" s="338"/>
      <c r="I81" s="338"/>
    </row>
    <row r="82" spans="1:9">
      <c r="A82" s="83"/>
      <c r="B82" s="83"/>
      <c r="C82" s="83"/>
      <c r="D82" s="83"/>
      <c r="E82" s="83"/>
      <c r="F82" s="83"/>
      <c r="G82" s="83"/>
      <c r="H82" s="83"/>
      <c r="I82" s="83"/>
    </row>
    <row r="83" spans="1:9">
      <c r="A83" s="83"/>
      <c r="B83" s="83"/>
      <c r="C83" s="83"/>
      <c r="D83" s="83"/>
      <c r="E83" s="83"/>
      <c r="F83" s="83"/>
      <c r="G83" s="83"/>
      <c r="H83" s="83"/>
      <c r="I83" s="83"/>
    </row>
    <row r="84" spans="1:9">
      <c r="A84" s="83"/>
      <c r="B84" s="83"/>
      <c r="C84" s="83"/>
      <c r="D84" s="83"/>
      <c r="E84" s="83"/>
      <c r="F84" s="83"/>
      <c r="G84" s="83"/>
      <c r="H84" s="83"/>
      <c r="I84" s="83"/>
    </row>
    <row r="85" spans="1:9">
      <c r="A85" s="83"/>
      <c r="B85" s="83"/>
      <c r="C85" s="83"/>
      <c r="D85" s="83"/>
      <c r="E85" s="83"/>
      <c r="F85" s="83"/>
      <c r="G85" s="83"/>
      <c r="H85" s="83"/>
      <c r="I85" s="83"/>
    </row>
    <row r="86" spans="1:9">
      <c r="A86" s="83"/>
      <c r="B86" s="83"/>
      <c r="C86" s="83"/>
      <c r="D86" s="83"/>
      <c r="E86" s="83"/>
      <c r="F86" s="83"/>
      <c r="G86" s="83"/>
      <c r="H86" s="83"/>
      <c r="I86" s="83"/>
    </row>
    <row r="87" spans="1:9">
      <c r="A87" s="83"/>
      <c r="B87" s="83"/>
      <c r="C87" s="83"/>
      <c r="D87" s="83"/>
      <c r="E87" s="83"/>
      <c r="F87" s="83"/>
      <c r="G87" s="83"/>
      <c r="H87" s="83"/>
      <c r="I87" s="83"/>
    </row>
    <row r="88" spans="1:9">
      <c r="A88" s="83"/>
      <c r="B88" s="83"/>
      <c r="C88" s="83"/>
      <c r="D88" s="83"/>
      <c r="E88" s="83"/>
      <c r="F88" s="83"/>
      <c r="G88" s="83"/>
      <c r="H88" s="83"/>
      <c r="I88" s="83"/>
    </row>
    <row r="89" spans="1:9">
      <c r="A89" s="83"/>
      <c r="B89" s="83"/>
      <c r="C89" s="83"/>
      <c r="D89" s="83"/>
      <c r="E89" s="83"/>
      <c r="F89" s="83"/>
      <c r="G89" s="83"/>
      <c r="H89" s="83"/>
      <c r="I89" s="83"/>
    </row>
    <row r="90" spans="1:9">
      <c r="A90" s="83"/>
      <c r="B90" s="83"/>
      <c r="C90" s="83"/>
      <c r="D90" s="83"/>
      <c r="E90" s="83"/>
      <c r="F90" s="83"/>
      <c r="G90" s="83"/>
      <c r="H90" s="83"/>
      <c r="I90" s="83"/>
    </row>
    <row r="91" spans="1:9">
      <c r="A91" s="83"/>
      <c r="B91" s="83"/>
      <c r="C91" s="83"/>
      <c r="D91" s="83"/>
      <c r="E91" s="83"/>
      <c r="F91" s="83"/>
      <c r="G91" s="83"/>
      <c r="H91" s="83"/>
      <c r="I91" s="83"/>
    </row>
    <row r="92" spans="1:9">
      <c r="A92" s="83"/>
      <c r="B92" s="83"/>
      <c r="C92" s="83"/>
      <c r="D92" s="83"/>
      <c r="E92" s="83"/>
      <c r="F92" s="83"/>
      <c r="G92" s="83"/>
      <c r="H92" s="83"/>
      <c r="I92" s="83"/>
    </row>
    <row r="93" spans="1:9">
      <c r="A93" s="83"/>
      <c r="B93" s="83"/>
      <c r="C93" s="83"/>
      <c r="D93" s="83"/>
      <c r="E93" s="83"/>
      <c r="F93" s="83"/>
      <c r="G93" s="83"/>
      <c r="H93" s="83"/>
      <c r="I93" s="83"/>
    </row>
    <row r="94" spans="1:9">
      <c r="A94" s="83"/>
      <c r="B94" s="83"/>
      <c r="C94" s="83"/>
      <c r="D94" s="83"/>
      <c r="E94" s="83"/>
      <c r="F94" s="83"/>
      <c r="G94" s="83"/>
      <c r="H94" s="83"/>
      <c r="I94" s="83"/>
    </row>
    <row r="95" spans="1:9">
      <c r="A95" s="83"/>
      <c r="B95" s="83"/>
      <c r="C95" s="83"/>
      <c r="D95" s="83"/>
      <c r="E95" s="83"/>
      <c r="F95" s="83"/>
      <c r="G95" s="83"/>
      <c r="H95" s="83"/>
      <c r="I95" s="83"/>
    </row>
    <row r="96" spans="1:9">
      <c r="A96" s="83"/>
      <c r="B96" s="83"/>
      <c r="C96" s="83"/>
      <c r="D96" s="83"/>
      <c r="E96" s="83"/>
      <c r="F96" s="83"/>
    </row>
    <row r="97" spans="5:6">
      <c r="E97" s="83"/>
      <c r="F97" s="83"/>
    </row>
    <row r="98" spans="5:6">
      <c r="E98" s="83"/>
      <c r="F98" s="83"/>
    </row>
    <row r="99" spans="5:6">
      <c r="E99" s="83"/>
      <c r="F99" s="83"/>
    </row>
    <row r="100" spans="5:6">
      <c r="F100" s="83"/>
    </row>
  </sheetData>
  <mergeCells count="24">
    <mergeCell ref="H71:I71"/>
    <mergeCell ref="H76:I76"/>
    <mergeCell ref="H81:I81"/>
    <mergeCell ref="S20:Y20"/>
    <mergeCell ref="A23:D23"/>
    <mergeCell ref="A26:D26"/>
    <mergeCell ref="M28:Q28"/>
    <mergeCell ref="M37:Q37"/>
    <mergeCell ref="A12:B12"/>
    <mergeCell ref="G13:K13"/>
    <mergeCell ref="M13:Q13"/>
    <mergeCell ref="A19:D19"/>
    <mergeCell ref="M20:Q20"/>
    <mergeCell ref="A5:D5"/>
    <mergeCell ref="A7:D7"/>
    <mergeCell ref="G8:K8"/>
    <mergeCell ref="A10:D10"/>
    <mergeCell ref="M10:Q10"/>
    <mergeCell ref="G2:K2"/>
    <mergeCell ref="M2:Q2"/>
    <mergeCell ref="S2:AW2"/>
    <mergeCell ref="A3:D3"/>
    <mergeCell ref="G3:K3"/>
    <mergeCell ref="M3:Q3"/>
  </mergeCells>
  <phoneticPr fontId="12" type="noConversion"/>
  <dataValidations count="14">
    <dataValidation type="whole" allowBlank="1" showInputMessage="1" showErrorMessage="1" errorTitle="超出范围" error="曝光时间的范围是5us-1s" sqref="D8" xr:uid="{00000000-0002-0000-0000-000000000000}">
      <formula1>5</formula1>
      <formula2>1000000</formula2>
    </dataValidation>
    <dataValidation type="list" allowBlank="1" showInputMessage="1" showErrorMessage="1" sqref="AC4" xr:uid="{00000000-0002-0000-0000-000001000000}">
      <formula1>"NROT,ZROT"</formula1>
    </dataValidation>
    <dataValidation type="list" allowBlank="1" showInputMessage="1" showErrorMessage="1" sqref="C2" xr:uid="{00000000-0002-0000-0000-000002000000}">
      <formula1>$S$4</formula1>
    </dataValidation>
    <dataValidation type="whole" allowBlank="1" showInputMessage="1" showErrorMessage="1" errorTitle="超出范围" error="0:关闭_x000a_1:打开" sqref="D24 D27" xr:uid="{00000000-0002-0000-0000-000003000000}">
      <formula1>0</formula1>
      <formula2>1</formula2>
    </dataValidation>
    <dataValidation type="list" allowBlank="1" showInputMessage="1" showErrorMessage="1" sqref="AR4" xr:uid="{00000000-0002-0000-0000-000004000000}">
      <formula1>"U3,GIGE,10-GIGE"</formula1>
    </dataValidation>
    <dataValidation type="list" allowBlank="1" showInputMessage="1" showErrorMessage="1" sqref="D6" xr:uid="{00000000-0002-0000-0000-000005000000}">
      <formula1>"8,12"</formula1>
    </dataValidation>
    <dataValidation type="list" allowBlank="1" showInputMessage="1" showErrorMessage="1" sqref="D20:D22" xr:uid="{00000000-0002-0000-0000-000006000000}">
      <formula1>"0,1"</formula1>
    </dataValidation>
    <dataValidation type="whole" allowBlank="1" showInputMessage="1" showErrorMessage="1" errorTitle="超出范围" error="触发延时的范围是0-3000000us" sqref="D11" xr:uid="{00000000-0002-0000-0000-000007000000}">
      <formula1>0</formula1>
      <formula2>3000000</formula2>
    </dataValidation>
    <dataValidation type="list" allowBlank="1" showInputMessage="1" showErrorMessage="1" sqref="B14" xr:uid="{00000000-0002-0000-0000-000008000000}">
      <formula1>"On"</formula1>
    </dataValidation>
    <dataValidation type="custom" allowBlank="1" showInputMessage="1" showErrorMessage="1" sqref="B15" xr:uid="{00000000-0002-0000-0000-000009000000}">
      <formula1>AND(MOD(B15,#REF!)=0,B15&gt;=0,B15&lt;=C2-B17)</formula1>
    </dataValidation>
    <dataValidation type="custom" allowBlank="1" showInputMessage="1" showErrorMessage="1" sqref="B16" xr:uid="{00000000-0002-0000-0000-00000A000000}">
      <formula1>AND(MOD(B16,2)=0,B16&gt;=0,B16&lt;=E2-B18)</formula1>
    </dataValidation>
    <dataValidation type="whole" allowBlank="1" showInputMessage="1" showErrorMessage="1" sqref="D25" xr:uid="{00000000-0002-0000-0000-00000B000000}">
      <formula1>#REF!</formula1>
      <formula2>400000000</formula2>
    </dataValidation>
    <dataValidation type="decimal" allowBlank="1" showInputMessage="1" showErrorMessage="1" sqref="D28" xr:uid="{00000000-0002-0000-0000-00000C000000}">
      <formula1>0.1</formula1>
      <formula2>10000</formula2>
    </dataValidation>
    <dataValidation type="whole" allowBlank="1" showInputMessage="1" showErrorMessage="1" errorTitle="超出范围" error="曝光延迟的范围是0-5000us" sqref="D9:D10" xr:uid="{00000000-0002-0000-0000-00000D000000}">
      <formula1>0</formula1>
      <formula2>5000</formula2>
    </dataValidation>
  </dataValidations>
  <pageMargins left="0.7" right="0.7" top="0.75" bottom="0.75" header="0.3" footer="0.3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8"/>
  <sheetViews>
    <sheetView workbookViewId="0">
      <selection activeCell="B39" sqref="B39"/>
    </sheetView>
  </sheetViews>
  <sheetFormatPr defaultColWidth="9" defaultRowHeight="15"/>
  <cols>
    <col min="2" max="2" width="65.42578125" customWidth="1"/>
    <col min="3" max="3" width="34.7109375" customWidth="1"/>
  </cols>
  <sheetData>
    <row r="1" spans="1:3" s="83" customFormat="1" ht="13.5" customHeight="1">
      <c r="A1" s="111" t="s">
        <v>225</v>
      </c>
      <c r="B1" s="111" t="s">
        <v>226</v>
      </c>
      <c r="C1" s="111" t="s">
        <v>227</v>
      </c>
    </row>
    <row r="2" spans="1:3" s="83" customFormat="1" ht="21" customHeight="1">
      <c r="A2" s="123" t="s">
        <v>228</v>
      </c>
      <c r="B2" s="36" t="s">
        <v>229</v>
      </c>
      <c r="C2" s="123" t="s">
        <v>230</v>
      </c>
    </row>
    <row r="3" spans="1:3">
      <c r="A3" s="123" t="s">
        <v>231</v>
      </c>
      <c r="B3" s="36" t="s">
        <v>232</v>
      </c>
      <c r="C3" s="123" t="s">
        <v>233</v>
      </c>
    </row>
    <row r="4" spans="1:3" ht="30">
      <c r="A4" s="312" t="s">
        <v>588</v>
      </c>
      <c r="B4" s="36" t="s">
        <v>584</v>
      </c>
      <c r="C4" s="123" t="s">
        <v>585</v>
      </c>
    </row>
    <row r="5" spans="1:3">
      <c r="A5" s="312" t="s">
        <v>589</v>
      </c>
      <c r="B5" s="36" t="s">
        <v>586</v>
      </c>
      <c r="C5" s="123" t="s">
        <v>587</v>
      </c>
    </row>
    <row r="6" spans="1:3">
      <c r="A6" s="312" t="s">
        <v>590</v>
      </c>
      <c r="B6" s="36" t="s">
        <v>234</v>
      </c>
      <c r="C6" s="123" t="s">
        <v>235</v>
      </c>
    </row>
    <row r="7" spans="1:3">
      <c r="A7" s="312" t="s">
        <v>591</v>
      </c>
      <c r="B7" s="36" t="s">
        <v>234</v>
      </c>
      <c r="C7" s="123" t="s">
        <v>235</v>
      </c>
    </row>
    <row r="8" spans="1:3" ht="30">
      <c r="A8" s="312" t="s">
        <v>592</v>
      </c>
      <c r="B8" s="313" t="s">
        <v>593</v>
      </c>
      <c r="C8" s="312" t="s">
        <v>594</v>
      </c>
    </row>
  </sheetData>
  <phoneticPr fontId="12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U145"/>
  <sheetViews>
    <sheetView workbookViewId="0">
      <selection activeCell="B17" sqref="B17"/>
    </sheetView>
  </sheetViews>
  <sheetFormatPr defaultColWidth="9" defaultRowHeight="15"/>
  <cols>
    <col min="1" max="1" width="33.42578125" customWidth="1"/>
    <col min="2" max="2" width="16.42578125" customWidth="1"/>
    <col min="3" max="3" width="15.85546875" customWidth="1"/>
    <col min="4" max="4" width="14.42578125" customWidth="1"/>
    <col min="5" max="6" width="13.7109375" customWidth="1"/>
    <col min="7" max="7" width="15" customWidth="1"/>
    <col min="8" max="8" width="15.85546875" customWidth="1"/>
    <col min="9" max="9" width="15.5703125" customWidth="1"/>
    <col min="10" max="10" width="15.42578125" customWidth="1"/>
    <col min="11" max="11" width="15" customWidth="1"/>
    <col min="12" max="12" width="15.42578125" customWidth="1"/>
    <col min="13" max="13" width="16" customWidth="1"/>
    <col min="14" max="14" width="16.42578125" customWidth="1"/>
    <col min="15" max="16" width="15.5703125" customWidth="1"/>
    <col min="17" max="17" width="14.85546875" customWidth="1"/>
    <col min="18" max="18" width="15" customWidth="1"/>
    <col min="19" max="19" width="15.42578125" customWidth="1"/>
    <col min="20" max="20" width="15.28515625" customWidth="1"/>
    <col min="21" max="21" width="16.28515625" customWidth="1"/>
    <col min="22" max="22" width="16.42578125" customWidth="1"/>
    <col min="23" max="23" width="16.140625" customWidth="1"/>
    <col min="24" max="24" width="14.140625" customWidth="1"/>
    <col min="25" max="25" width="12.5703125" customWidth="1"/>
    <col min="26" max="26" width="12" customWidth="1"/>
    <col min="27" max="27" width="14" customWidth="1"/>
    <col min="28" max="28" width="17" customWidth="1"/>
    <col min="29" max="29" width="20.42578125" customWidth="1"/>
    <col min="30" max="30" width="21" customWidth="1"/>
    <col min="31" max="31" width="20.28515625" customWidth="1"/>
    <col min="32" max="32" width="22.5703125" customWidth="1"/>
    <col min="33" max="33" width="24.140625" customWidth="1"/>
    <col min="34" max="34" width="11.5703125" customWidth="1"/>
    <col min="35" max="35" width="21.5703125" customWidth="1"/>
    <col min="36" max="36" width="17.28515625" customWidth="1"/>
    <col min="37" max="37" width="13.42578125" customWidth="1"/>
    <col min="38" max="38" width="12.85546875" customWidth="1"/>
    <col min="39" max="41" width="21.5703125" customWidth="1"/>
    <col min="42" max="42" width="19.42578125" customWidth="1"/>
    <col min="43" max="45" width="20.28515625" customWidth="1"/>
  </cols>
  <sheetData>
    <row r="1" spans="1:10" s="105" customFormat="1">
      <c r="A1" s="4"/>
      <c r="B1" s="106"/>
    </row>
    <row r="2" spans="1:10" s="105" customFormat="1">
      <c r="A2" s="5" t="s">
        <v>236</v>
      </c>
      <c r="B2" s="6">
        <f>ROUNDDOWN(D57/B8/B6/32,0)*32</f>
        <v>16544</v>
      </c>
    </row>
    <row r="3" spans="1:10" s="105" customFormat="1">
      <c r="A3" s="5" t="s">
        <v>237</v>
      </c>
      <c r="B3" s="6">
        <f>ROUNDDOWN(D58/B9/B7/2,0)*2</f>
        <v>9200</v>
      </c>
      <c r="J3" s="109"/>
    </row>
    <row r="4" spans="1:10" s="105" customFormat="1">
      <c r="A4" s="4" t="s">
        <v>238</v>
      </c>
      <c r="B4" s="7">
        <v>16544</v>
      </c>
      <c r="C4" s="107" t="str">
        <f>IF(OR(B4&gt;B2,B4&lt;4),H26,"")</f>
        <v/>
      </c>
    </row>
    <row r="5" spans="1:10" s="105" customFormat="1">
      <c r="A5" s="4" t="s">
        <v>239</v>
      </c>
      <c r="B5" s="7">
        <v>9200</v>
      </c>
      <c r="C5" s="107" t="str">
        <f>IF(OR(B5&gt;B3,B5&lt;2),H27,"")</f>
        <v/>
      </c>
    </row>
    <row r="6" spans="1:10" s="105" customFormat="1">
      <c r="A6" s="4" t="s">
        <v>240</v>
      </c>
      <c r="B6" s="7">
        <v>1</v>
      </c>
      <c r="C6" s="107" t="str">
        <f>IF(OR(AND(B6=2,B8=2),AND(B6=4,B8=4),AND(B6=2,B8=4),AND(B6=4,B8=2)),H29,"")</f>
        <v/>
      </c>
    </row>
    <row r="7" spans="1:10" s="105" customFormat="1">
      <c r="A7" s="4" t="s">
        <v>241</v>
      </c>
      <c r="B7" s="7">
        <v>1</v>
      </c>
      <c r="C7" s="107" t="str">
        <f>IF(OR(AND(B7=2,B9=2),AND(B7=4,B9=4),AND(B7=2,B9=4),AND(B7=4,B9=2)),H30,"")</f>
        <v/>
      </c>
    </row>
    <row r="8" spans="1:10" s="105" customFormat="1">
      <c r="A8" s="5" t="s">
        <v>242</v>
      </c>
      <c r="B8" s="8">
        <v>1</v>
      </c>
    </row>
    <row r="9" spans="1:10" s="105" customFormat="1">
      <c r="A9" s="5" t="s">
        <v>243</v>
      </c>
      <c r="B9" s="8">
        <v>1</v>
      </c>
    </row>
    <row r="10" spans="1:10" s="105" customFormat="1">
      <c r="A10" s="4" t="s">
        <v>244</v>
      </c>
      <c r="B10" s="7">
        <v>60000</v>
      </c>
    </row>
    <row r="11" spans="1:10" s="105" customFormat="1">
      <c r="A11" s="9" t="s">
        <v>245</v>
      </c>
      <c r="B11" s="10">
        <v>0</v>
      </c>
    </row>
    <row r="12" spans="1:10" s="105" customFormat="1">
      <c r="A12" s="4" t="s">
        <v>246</v>
      </c>
      <c r="B12" s="7">
        <v>8</v>
      </c>
    </row>
    <row r="13" spans="1:10" s="105" customFormat="1">
      <c r="A13" s="4" t="s">
        <v>247</v>
      </c>
      <c r="B13" s="7">
        <v>8192</v>
      </c>
    </row>
    <row r="14" spans="1:10" s="105" customFormat="1">
      <c r="A14" s="4" t="s">
        <v>248</v>
      </c>
      <c r="B14" s="7">
        <v>0</v>
      </c>
    </row>
    <row r="15" spans="1:10" s="105" customFormat="1">
      <c r="A15" s="4" t="s">
        <v>249</v>
      </c>
      <c r="B15" s="7">
        <v>16</v>
      </c>
    </row>
    <row r="16" spans="1:10" s="105" customFormat="1">
      <c r="A16" s="4" t="s">
        <v>250</v>
      </c>
      <c r="B16" s="7">
        <v>0</v>
      </c>
    </row>
    <row r="17" spans="1:8" s="105" customFormat="1">
      <c r="A17" s="4" t="s">
        <v>251</v>
      </c>
      <c r="B17" s="7">
        <v>12.5</v>
      </c>
    </row>
    <row r="18" spans="1:8" s="105" customFormat="1">
      <c r="A18" s="4" t="s">
        <v>252</v>
      </c>
      <c r="B18" s="7">
        <v>4</v>
      </c>
    </row>
    <row r="19" spans="1:8" s="105" customFormat="1" ht="18" customHeight="1">
      <c r="A19" s="4" t="s">
        <v>253</v>
      </c>
      <c r="B19" s="7">
        <v>0</v>
      </c>
    </row>
    <row r="20" spans="1:8" s="105" customFormat="1">
      <c r="A20" s="4" t="s">
        <v>254</v>
      </c>
      <c r="B20" s="7">
        <v>5000000000</v>
      </c>
    </row>
    <row r="21" spans="1:8" s="105" customFormat="1">
      <c r="A21" s="4"/>
      <c r="B21" s="11"/>
    </row>
    <row r="22" spans="1:8" s="105" customFormat="1" ht="15.75">
      <c r="A22" s="12"/>
      <c r="B22" s="13"/>
    </row>
    <row r="23" spans="1:8" s="105" customFormat="1" ht="15.75">
      <c r="A23" s="12" t="s">
        <v>255</v>
      </c>
      <c r="B23" s="14">
        <f>K45</f>
        <v>16.304170606841229</v>
      </c>
      <c r="C23" s="107" t="str">
        <f>IF(H32,H28,"")</f>
        <v/>
      </c>
    </row>
    <row r="24" spans="1:8" s="105" customFormat="1" hidden="1"/>
    <row r="25" spans="1:8" s="105" customFormat="1" hidden="1">
      <c r="H25" s="83" t="s">
        <v>256</v>
      </c>
    </row>
    <row r="26" spans="1:8" s="105" customFormat="1" hidden="1">
      <c r="H26" s="83" t="s">
        <v>257</v>
      </c>
    </row>
    <row r="27" spans="1:8" s="105" customFormat="1" hidden="1">
      <c r="H27" s="83" t="s">
        <v>258</v>
      </c>
    </row>
    <row r="28" spans="1:8" s="105" customFormat="1" hidden="1">
      <c r="H28" s="83" t="s">
        <v>259</v>
      </c>
    </row>
    <row r="29" spans="1:8" s="105" customFormat="1" hidden="1">
      <c r="H29" s="83" t="s">
        <v>260</v>
      </c>
    </row>
    <row r="30" spans="1:8" s="105" customFormat="1" hidden="1">
      <c r="H30" s="83" t="s">
        <v>261</v>
      </c>
    </row>
    <row r="31" spans="1:8" s="105" customFormat="1" hidden="1">
      <c r="H31" s="83" t="s">
        <v>262</v>
      </c>
    </row>
    <row r="32" spans="1:8" s="105" customFormat="1" hidden="1">
      <c r="H32" s="83">
        <f>IF(OR(OR(B4&gt;B2,B4&lt;4),OR(B5&gt;B3,B5&lt;2),,OR(AND(B6=2,B8=2),AND(B6=4,B8=4),AND(B6=2,B8=4),AND(B6=4,B8=2)),OR(AND(B7=2,B9=2),AND(B7=4,B9=4),AND(B7=2,B9=4),AND(B7=4,B9=2))),1,0)</f>
        <v>0</v>
      </c>
    </row>
    <row r="33" spans="2:47" s="105" customFormat="1" hidden="1"/>
    <row r="34" spans="2:47" s="105" customFormat="1" hidden="1"/>
    <row r="35" spans="2:47" s="105" customFormat="1" hidden="1"/>
    <row r="36" spans="2:47" s="105" customFormat="1" hidden="1"/>
    <row r="37" spans="2:47" s="105" customFormat="1" hidden="1"/>
    <row r="38" spans="2:47" s="105" customFormat="1" hidden="1"/>
    <row r="39" spans="2:47" s="105" customFormat="1" hidden="1">
      <c r="B39" s="108"/>
      <c r="C39" s="108"/>
      <c r="E39" s="108"/>
      <c r="F39" s="108"/>
      <c r="T39" s="108"/>
      <c r="U39" s="108"/>
      <c r="V39" s="108"/>
      <c r="W39" s="108"/>
      <c r="X39" s="108"/>
      <c r="Y39" s="108"/>
    </row>
    <row r="40" spans="2:47" ht="27.75" hidden="1" customHeight="1">
      <c r="B40" s="15" t="s">
        <v>0</v>
      </c>
      <c r="C40" s="15" t="s">
        <v>1</v>
      </c>
      <c r="D40" s="16" t="s">
        <v>263</v>
      </c>
      <c r="E40" s="17"/>
      <c r="F40" s="17"/>
      <c r="G40" s="17"/>
      <c r="H40" s="314" t="s">
        <v>3</v>
      </c>
      <c r="I40" s="315"/>
      <c r="J40" s="315"/>
      <c r="K40" s="315"/>
      <c r="L40" s="316"/>
      <c r="M40" s="36"/>
      <c r="N40" s="314" t="s">
        <v>4</v>
      </c>
      <c r="O40" s="315"/>
      <c r="P40" s="315"/>
      <c r="Q40" s="315"/>
      <c r="R40" s="316"/>
      <c r="S40" s="36"/>
      <c r="T40" s="339" t="s">
        <v>5</v>
      </c>
      <c r="U40" s="340"/>
      <c r="V40" s="340"/>
      <c r="W40" s="340"/>
      <c r="X40" s="340"/>
      <c r="Y40" s="340"/>
      <c r="Z40" s="340"/>
      <c r="AA40" s="340"/>
      <c r="AB40" s="340"/>
      <c r="AC40" s="340"/>
      <c r="AD40" s="340"/>
      <c r="AE40" s="340"/>
      <c r="AF40" s="340"/>
      <c r="AG40" s="340"/>
      <c r="AH40" s="340"/>
      <c r="AI40" s="340"/>
      <c r="AJ40" s="340"/>
      <c r="AK40" s="340"/>
      <c r="AL40" s="340"/>
      <c r="AM40" s="340"/>
      <c r="AN40" s="340"/>
      <c r="AO40" s="340"/>
      <c r="AP40" s="340"/>
      <c r="AQ40" s="340"/>
      <c r="AR40" s="340"/>
      <c r="AS40" s="340"/>
      <c r="AT40" s="340"/>
      <c r="AU40" s="341"/>
    </row>
    <row r="41" spans="2:47" ht="45" hidden="1">
      <c r="B41" s="314" t="s">
        <v>264</v>
      </c>
      <c r="C41" s="315"/>
      <c r="D41" s="315"/>
      <c r="E41" s="315"/>
      <c r="F41" s="316"/>
      <c r="G41" s="17"/>
      <c r="H41" s="322" t="s">
        <v>7</v>
      </c>
      <c r="I41" s="323"/>
      <c r="J41" s="323"/>
      <c r="K41" s="323"/>
      <c r="L41" s="324"/>
      <c r="M41" s="36"/>
      <c r="N41" s="322" t="s">
        <v>265</v>
      </c>
      <c r="O41" s="323"/>
      <c r="P41" s="323"/>
      <c r="Q41" s="323"/>
      <c r="R41" s="324"/>
      <c r="S41" s="36"/>
      <c r="T41" s="52" t="s">
        <v>9</v>
      </c>
      <c r="U41" s="53" t="s">
        <v>10</v>
      </c>
      <c r="V41" s="53" t="s">
        <v>11</v>
      </c>
      <c r="W41" s="53" t="s">
        <v>266</v>
      </c>
      <c r="X41" s="53" t="s">
        <v>267</v>
      </c>
      <c r="Y41" s="53" t="s">
        <v>268</v>
      </c>
      <c r="Z41" s="53" t="s">
        <v>269</v>
      </c>
      <c r="AA41" s="53" t="s">
        <v>270</v>
      </c>
      <c r="AB41" s="53" t="s">
        <v>271</v>
      </c>
      <c r="AC41" s="53" t="s">
        <v>272</v>
      </c>
      <c r="AD41" s="53" t="s">
        <v>273</v>
      </c>
      <c r="AE41" s="53" t="s">
        <v>274</v>
      </c>
      <c r="AF41" s="53" t="s">
        <v>275</v>
      </c>
      <c r="AG41" s="53" t="s">
        <v>276</v>
      </c>
      <c r="AH41" s="53" t="s">
        <v>277</v>
      </c>
      <c r="AI41" s="53" t="s">
        <v>278</v>
      </c>
      <c r="AJ41" s="53" t="s">
        <v>279</v>
      </c>
      <c r="AK41" s="53" t="s">
        <v>280</v>
      </c>
      <c r="AL41" s="53" t="s">
        <v>281</v>
      </c>
      <c r="AM41" s="53" t="s">
        <v>282</v>
      </c>
      <c r="AN41" s="53" t="s">
        <v>283</v>
      </c>
      <c r="AO41" s="53" t="s">
        <v>284</v>
      </c>
      <c r="AP41" s="53" t="s">
        <v>285</v>
      </c>
      <c r="AQ41" s="53" t="s">
        <v>286</v>
      </c>
      <c r="AR41" s="53" t="s">
        <v>287</v>
      </c>
      <c r="AS41" s="53" t="s">
        <v>288</v>
      </c>
      <c r="AT41" s="53" t="s">
        <v>289</v>
      </c>
      <c r="AU41" s="74" t="s">
        <v>290</v>
      </c>
    </row>
    <row r="42" spans="2:47" ht="30" hidden="1">
      <c r="B42" s="18" t="s">
        <v>40</v>
      </c>
      <c r="C42" s="19" t="s">
        <v>41</v>
      </c>
      <c r="D42" s="19" t="s">
        <v>42</v>
      </c>
      <c r="E42" s="19" t="s">
        <v>43</v>
      </c>
      <c r="F42" s="20" t="s">
        <v>46</v>
      </c>
      <c r="G42" s="17"/>
      <c r="H42" s="21" t="s">
        <v>40</v>
      </c>
      <c r="I42" s="37" t="s">
        <v>41</v>
      </c>
      <c r="J42" s="37" t="s">
        <v>44</v>
      </c>
      <c r="K42" s="37" t="s">
        <v>45</v>
      </c>
      <c r="L42" s="38" t="s">
        <v>46</v>
      </c>
      <c r="M42" s="36"/>
      <c r="N42" s="18" t="s">
        <v>40</v>
      </c>
      <c r="O42" s="19" t="s">
        <v>41</v>
      </c>
      <c r="P42" s="19" t="s">
        <v>44</v>
      </c>
      <c r="Q42" s="19" t="s">
        <v>47</v>
      </c>
      <c r="R42" s="54" t="s">
        <v>46</v>
      </c>
      <c r="S42" s="36"/>
      <c r="T42" s="55" t="s">
        <v>291</v>
      </c>
      <c r="U42" s="56" t="s">
        <v>48</v>
      </c>
      <c r="V42" s="56">
        <v>60</v>
      </c>
      <c r="W42" s="56">
        <v>96</v>
      </c>
      <c r="X42" s="57">
        <v>1</v>
      </c>
      <c r="Y42" s="57">
        <v>48</v>
      </c>
      <c r="Z42" s="57">
        <v>128</v>
      </c>
      <c r="AA42" s="57">
        <v>4</v>
      </c>
      <c r="AB42" s="56">
        <v>5376</v>
      </c>
      <c r="AC42" s="56">
        <v>1</v>
      </c>
      <c r="AD42" s="56">
        <v>5376</v>
      </c>
      <c r="AE42" s="56">
        <v>5184</v>
      </c>
      <c r="AF42" s="57">
        <f>ROUNDUP((7*$Q$44/$Q$43)*1000,0)+ROUNDUP(11*$Q$56,0)</f>
        <v>94250</v>
      </c>
      <c r="AG42" s="57">
        <f>ROUNDUP((7*$Q$60/$Q$43)*1000,0)+ROUNDUP(11*$Q$61,0)</f>
        <v>94250</v>
      </c>
      <c r="AH42" s="72">
        <v>124</v>
      </c>
      <c r="AI42" s="72">
        <v>1</v>
      </c>
      <c r="AJ42" s="72">
        <v>3</v>
      </c>
      <c r="AK42" s="72">
        <v>742</v>
      </c>
      <c r="AL42" s="72">
        <v>6</v>
      </c>
      <c r="AM42" s="72">
        <v>14</v>
      </c>
      <c r="AN42" s="56">
        <v>1</v>
      </c>
      <c r="AO42" s="56" t="s">
        <v>292</v>
      </c>
      <c r="AP42" s="56">
        <v>10000</v>
      </c>
      <c r="AQ42" s="72">
        <v>5120</v>
      </c>
      <c r="AR42" s="72">
        <v>5120</v>
      </c>
      <c r="AS42" s="72">
        <v>150</v>
      </c>
      <c r="AT42" s="56">
        <v>1</v>
      </c>
      <c r="AU42" s="75">
        <v>1</v>
      </c>
    </row>
    <row r="43" spans="2:47" ht="30" hidden="1">
      <c r="B43" s="322" t="s">
        <v>51</v>
      </c>
      <c r="C43" s="323"/>
      <c r="D43" s="323"/>
      <c r="E43" s="323"/>
      <c r="F43" s="324"/>
      <c r="G43" s="17"/>
      <c r="H43" s="22" t="s">
        <v>52</v>
      </c>
      <c r="I43" s="23" t="s">
        <v>53</v>
      </c>
      <c r="J43" s="29" t="s">
        <v>293</v>
      </c>
      <c r="K43" s="39">
        <f>Q61</f>
        <v>6500</v>
      </c>
      <c r="L43" s="40" t="s">
        <v>55</v>
      </c>
      <c r="M43" s="36"/>
      <c r="N43" s="22" t="s">
        <v>56</v>
      </c>
      <c r="O43" s="23" t="s">
        <v>57</v>
      </c>
      <c r="P43" s="23" t="s">
        <v>58</v>
      </c>
      <c r="Q43" s="45">
        <f>VLOOKUP($D$40,$T$42:$AU$49,4,FALSE)</f>
        <v>80</v>
      </c>
      <c r="R43" s="40" t="s">
        <v>59</v>
      </c>
      <c r="S43" s="36"/>
      <c r="T43" s="55" t="s">
        <v>263</v>
      </c>
      <c r="U43" s="56" t="s">
        <v>294</v>
      </c>
      <c r="V43" s="56">
        <v>60</v>
      </c>
      <c r="W43" s="56">
        <v>80</v>
      </c>
      <c r="X43" s="57">
        <v>3</v>
      </c>
      <c r="Y43" s="57">
        <v>38</v>
      </c>
      <c r="Z43" s="57">
        <v>82</v>
      </c>
      <c r="AA43" s="57">
        <v>4</v>
      </c>
      <c r="AB43" s="56">
        <v>16720</v>
      </c>
      <c r="AC43" s="56">
        <v>1</v>
      </c>
      <c r="AD43" s="56">
        <v>16720</v>
      </c>
      <c r="AE43" s="56">
        <v>9256</v>
      </c>
      <c r="AF43" s="57">
        <f>ROUNDUP((6*$Q$44/$Q$43)*1000,0)+ROUNDUP(201*$Q$56,0)</f>
        <v>1326000</v>
      </c>
      <c r="AG43" s="57">
        <f>ROUNDUP((6*$Q$60/$Q$43)*1000,0)+ROUNDUP(201*$Q$61,0)</f>
        <v>1326000</v>
      </c>
      <c r="AH43" s="72">
        <v>260</v>
      </c>
      <c r="AI43" s="72">
        <v>2</v>
      </c>
      <c r="AJ43" s="72">
        <v>3</v>
      </c>
      <c r="AK43" s="72">
        <v>1500</v>
      </c>
      <c r="AL43" s="72">
        <v>8</v>
      </c>
      <c r="AM43" s="72">
        <v>10</v>
      </c>
      <c r="AN43" s="56">
        <v>1</v>
      </c>
      <c r="AO43" s="56" t="s">
        <v>295</v>
      </c>
      <c r="AP43" s="56">
        <v>60000</v>
      </c>
      <c r="AQ43" s="72">
        <v>16544</v>
      </c>
      <c r="AR43" s="72">
        <v>9200</v>
      </c>
      <c r="AS43" s="72">
        <v>16</v>
      </c>
      <c r="AT43" s="56">
        <v>1</v>
      </c>
      <c r="AU43" s="75">
        <v>1</v>
      </c>
    </row>
    <row r="44" spans="2:47" ht="330" hidden="1">
      <c r="B44" s="22" t="s">
        <v>60</v>
      </c>
      <c r="C44" s="23" t="s">
        <v>51</v>
      </c>
      <c r="D44" s="23" t="str">
        <f>VLOOKUP($D$40,$T$42:$AU$49,22,FALSE)</f>
        <v>像素格式(8/12)</v>
      </c>
      <c r="E44" s="24">
        <f>B12</f>
        <v>8</v>
      </c>
      <c r="F44" s="25" t="s">
        <v>66</v>
      </c>
      <c r="G44" s="17"/>
      <c r="H44" s="22" t="s">
        <v>61</v>
      </c>
      <c r="I44" s="23" t="s">
        <v>62</v>
      </c>
      <c r="J44" s="29" t="s">
        <v>296</v>
      </c>
      <c r="K44" s="39">
        <f>IF(E52=1,IF(E46="TriggerWidth",MAX(K47,K58,K49),MAX(K47,K48,K49)+K56),MAX(K47,K48,K49,K50)+K56)</f>
        <v>61334</v>
      </c>
      <c r="L44" s="40" t="s">
        <v>64</v>
      </c>
      <c r="N44" s="22" t="s">
        <v>297</v>
      </c>
      <c r="O44" s="23" t="s">
        <v>65</v>
      </c>
      <c r="P44" s="23" t="s">
        <v>58</v>
      </c>
      <c r="Q44" s="45">
        <f>VLOOKUP($D$40,$T$42:$AU$49,15,FALSE)</f>
        <v>260</v>
      </c>
      <c r="R44" s="40" t="s">
        <v>298</v>
      </c>
      <c r="T44" s="55" t="s">
        <v>299</v>
      </c>
      <c r="U44" s="56" t="s">
        <v>300</v>
      </c>
      <c r="V44" s="56">
        <v>50</v>
      </c>
      <c r="W44" s="56">
        <v>90</v>
      </c>
      <c r="X44" s="57">
        <v>1</v>
      </c>
      <c r="Y44" s="57">
        <v>56</v>
      </c>
      <c r="Z44" s="57">
        <v>88</v>
      </c>
      <c r="AA44" s="57">
        <v>4</v>
      </c>
      <c r="AB44" s="56">
        <v>9520</v>
      </c>
      <c r="AC44" s="56">
        <v>1</v>
      </c>
      <c r="AD44" s="56">
        <v>9520</v>
      </c>
      <c r="AE44" s="56">
        <v>7056</v>
      </c>
      <c r="AF44" s="57">
        <f>ROUNDUP((7*$Q$44/$Q$43)*1000,0)+ROUNDUP(10*$Q$56,0)</f>
        <v>87750</v>
      </c>
      <c r="AG44" s="57">
        <f>ROUNDUP((7*$Q$60/$Q$43)*1000,0)+ROUNDUP(10*$Q$61,0)</f>
        <v>87750</v>
      </c>
      <c r="AH44" s="72">
        <v>180</v>
      </c>
      <c r="AI44" s="72">
        <v>1</v>
      </c>
      <c r="AJ44" s="72">
        <v>3</v>
      </c>
      <c r="AK44" s="72">
        <v>1068</v>
      </c>
      <c r="AL44" s="72">
        <v>6</v>
      </c>
      <c r="AM44" s="72">
        <v>14</v>
      </c>
      <c r="AN44" s="56">
        <v>1</v>
      </c>
      <c r="AO44" s="56" t="s">
        <v>292</v>
      </c>
      <c r="AP44" s="56">
        <v>10000</v>
      </c>
      <c r="AQ44" s="72">
        <v>9344</v>
      </c>
      <c r="AR44" s="72">
        <v>7000</v>
      </c>
      <c r="AS44" s="72">
        <v>71</v>
      </c>
      <c r="AT44" s="56">
        <v>1</v>
      </c>
      <c r="AU44" s="75">
        <v>1</v>
      </c>
    </row>
    <row r="45" spans="2:47" ht="30" hidden="1">
      <c r="B45" s="322" t="s">
        <v>67</v>
      </c>
      <c r="C45" s="323"/>
      <c r="D45" s="323"/>
      <c r="E45" s="323"/>
      <c r="F45" s="324"/>
      <c r="G45" s="17"/>
      <c r="H45" s="22" t="s">
        <v>68</v>
      </c>
      <c r="I45" s="23" t="s">
        <v>7</v>
      </c>
      <c r="J45" s="29" t="s">
        <v>69</v>
      </c>
      <c r="K45" s="41">
        <f>1000000/K44</f>
        <v>16.304170606841229</v>
      </c>
      <c r="L45" s="40" t="s">
        <v>70</v>
      </c>
      <c r="N45" s="22" t="s">
        <v>301</v>
      </c>
      <c r="O45" s="23" t="s">
        <v>302</v>
      </c>
      <c r="P45" s="23" t="s">
        <v>58</v>
      </c>
      <c r="Q45" s="45">
        <f>VLOOKUP($D$40,$T$42:$AU$49,13,FALSE)</f>
        <v>1326000</v>
      </c>
      <c r="R45" s="40" t="s">
        <v>55</v>
      </c>
      <c r="T45" s="60" t="s">
        <v>303</v>
      </c>
      <c r="U45" s="61" t="s">
        <v>300</v>
      </c>
      <c r="V45" s="61">
        <v>60</v>
      </c>
      <c r="W45" s="61">
        <v>80</v>
      </c>
      <c r="X45" s="61">
        <v>1</v>
      </c>
      <c r="Y45" s="61">
        <v>28</v>
      </c>
      <c r="Z45" s="73">
        <v>88</v>
      </c>
      <c r="AA45" s="61">
        <v>4</v>
      </c>
      <c r="AB45" s="110">
        <v>9520</v>
      </c>
      <c r="AC45" s="110">
        <v>1</v>
      </c>
      <c r="AD45" s="110">
        <v>9520</v>
      </c>
      <c r="AE45" s="110">
        <v>7056</v>
      </c>
      <c r="AF45" s="62">
        <f>ROUNDUP((6*$Q$44/$Q$43)*1000,0)+ROUNDUP(10*$Q$56,0)</f>
        <v>84500</v>
      </c>
      <c r="AG45" s="62">
        <f>ROUNDUP((6*$Q$60/$Q$43)*1000,0)+ROUNDUP(10*$Q$61,0)</f>
        <v>84500</v>
      </c>
      <c r="AH45" s="110">
        <v>180</v>
      </c>
      <c r="AI45" s="110">
        <v>2</v>
      </c>
      <c r="AJ45" s="110">
        <v>3</v>
      </c>
      <c r="AK45" s="110">
        <v>1068</v>
      </c>
      <c r="AL45" s="110">
        <v>6</v>
      </c>
      <c r="AM45" s="110">
        <v>14</v>
      </c>
      <c r="AN45" s="110">
        <v>1</v>
      </c>
      <c r="AO45" s="110" t="s">
        <v>295</v>
      </c>
      <c r="AP45" s="110">
        <v>30000</v>
      </c>
      <c r="AQ45" s="110">
        <v>9344</v>
      </c>
      <c r="AR45" s="110">
        <v>7000</v>
      </c>
      <c r="AS45" s="110">
        <v>31</v>
      </c>
      <c r="AT45" s="110">
        <v>1</v>
      </c>
      <c r="AU45" s="77">
        <v>1</v>
      </c>
    </row>
    <row r="46" spans="2:47" ht="30" hidden="1">
      <c r="B46" s="22" t="s">
        <v>304</v>
      </c>
      <c r="C46" s="23" t="s">
        <v>305</v>
      </c>
      <c r="D46" s="23" t="s">
        <v>306</v>
      </c>
      <c r="E46" s="24" t="s">
        <v>306</v>
      </c>
      <c r="F46" s="26" t="s">
        <v>66</v>
      </c>
      <c r="G46" s="17"/>
      <c r="H46" s="322" t="s">
        <v>74</v>
      </c>
      <c r="I46" s="323"/>
      <c r="J46" s="323"/>
      <c r="K46" s="323"/>
      <c r="L46" s="324"/>
      <c r="N46" s="22" t="s">
        <v>307</v>
      </c>
      <c r="O46" s="23" t="s">
        <v>308</v>
      </c>
      <c r="P46" s="23" t="s">
        <v>58</v>
      </c>
      <c r="Q46" s="45">
        <f>VLOOKUP($D$40,$T$42:$AU$49,14,FALSE)</f>
        <v>1326000</v>
      </c>
      <c r="R46" s="40" t="s">
        <v>55</v>
      </c>
      <c r="T46" s="36"/>
      <c r="U46" s="36"/>
      <c r="V46" s="36"/>
      <c r="W46" s="36"/>
      <c r="X46" s="36"/>
      <c r="Y46" s="36"/>
      <c r="Z46" s="71"/>
      <c r="AA46" s="71"/>
    </row>
    <row r="47" spans="2:47" ht="30" hidden="1">
      <c r="B47" s="27" t="str">
        <f>"交叠曝光时间
(0-"&amp;D47&amp;")"</f>
        <v>交叠曝光时间
(0-59878)</v>
      </c>
      <c r="C47" s="23" t="s">
        <v>309</v>
      </c>
      <c r="D47" s="23">
        <f>K47-ROUNDUP(Q46/1000,0)</f>
        <v>59878</v>
      </c>
      <c r="E47" s="24">
        <v>59872</v>
      </c>
      <c r="F47" s="26" t="s">
        <v>64</v>
      </c>
      <c r="G47" s="17"/>
      <c r="H47" s="22" t="s">
        <v>79</v>
      </c>
      <c r="I47" s="23" t="s">
        <v>80</v>
      </c>
      <c r="J47" s="29" t="s">
        <v>310</v>
      </c>
      <c r="K47" s="42">
        <f>Q62</f>
        <v>61204</v>
      </c>
      <c r="L47" s="43" t="s">
        <v>64</v>
      </c>
      <c r="N47" s="22" t="s">
        <v>311</v>
      </c>
      <c r="O47" s="23" t="s">
        <v>312</v>
      </c>
      <c r="P47" s="23" t="s">
        <v>58</v>
      </c>
      <c r="Q47" s="45">
        <f>VLOOKUP($D$40,$T$42:$AU$49,16,FALSE)</f>
        <v>2</v>
      </c>
      <c r="R47" s="40" t="s">
        <v>66</v>
      </c>
      <c r="T47" s="36"/>
      <c r="U47" s="36"/>
      <c r="V47" s="36"/>
      <c r="W47" s="36"/>
      <c r="X47" s="36"/>
      <c r="Y47" s="36"/>
      <c r="Z47" s="71"/>
      <c r="AA47" s="71"/>
    </row>
    <row r="48" spans="2:47" ht="75" hidden="1">
      <c r="B48" s="23" t="s">
        <v>67</v>
      </c>
      <c r="C48" s="23" t="s">
        <v>313</v>
      </c>
      <c r="D48" s="23">
        <f>VLOOKUP($D$40,$T$42:$AU$49,23,FALSE)</f>
        <v>60000</v>
      </c>
      <c r="E48" s="24">
        <f>B10</f>
        <v>60000</v>
      </c>
      <c r="F48" s="26" t="s">
        <v>64</v>
      </c>
      <c r="G48" s="17"/>
      <c r="H48" s="22" t="s">
        <v>87</v>
      </c>
      <c r="I48" s="23" t="s">
        <v>88</v>
      </c>
      <c r="J48" s="29" t="s">
        <v>314</v>
      </c>
      <c r="K48" s="44">
        <f>ROUNDUP(E48-Q50/Q43+(Q49+Q54)*K43/1000+E49+Q46/1000,0)</f>
        <v>61334</v>
      </c>
      <c r="L48" s="43" t="s">
        <v>64</v>
      </c>
      <c r="N48" s="22" t="s">
        <v>315</v>
      </c>
      <c r="O48" s="23" t="s">
        <v>316</v>
      </c>
      <c r="P48" s="23" t="s">
        <v>58</v>
      </c>
      <c r="Q48" s="45">
        <f>VLOOKUP($D$40,$T$42:$AU$49,20,FALSE)</f>
        <v>10</v>
      </c>
      <c r="R48" s="40" t="s">
        <v>317</v>
      </c>
      <c r="T48" s="36"/>
      <c r="U48" s="36"/>
      <c r="V48" s="36"/>
      <c r="W48" s="36"/>
      <c r="X48" s="36"/>
      <c r="Y48" s="36"/>
      <c r="Z48" s="71"/>
      <c r="AA48" s="71"/>
    </row>
    <row r="49" spans="2:24" ht="60" hidden="1">
      <c r="B49" s="23" t="s">
        <v>78</v>
      </c>
      <c r="C49" s="23" t="s">
        <v>318</v>
      </c>
      <c r="D49" s="23">
        <v>0</v>
      </c>
      <c r="E49" s="24">
        <f>B11</f>
        <v>0</v>
      </c>
      <c r="F49" s="26" t="s">
        <v>64</v>
      </c>
      <c r="G49" s="17"/>
      <c r="H49" s="22" t="s">
        <v>93</v>
      </c>
      <c r="I49" s="23" t="s">
        <v>94</v>
      </c>
      <c r="J49" s="23" t="s">
        <v>95</v>
      </c>
      <c r="K49" s="45">
        <f>ROUNDUP((1000000/E67)*E66,0)</f>
        <v>0</v>
      </c>
      <c r="L49" s="40" t="s">
        <v>64</v>
      </c>
      <c r="N49" s="22" t="s">
        <v>319</v>
      </c>
      <c r="O49" s="23" t="s">
        <v>320</v>
      </c>
      <c r="P49" s="23" t="s">
        <v>58</v>
      </c>
      <c r="Q49" s="45">
        <f>VLOOKUP($D$40,$T$42:$AU$49,17,FALSE)</f>
        <v>3</v>
      </c>
      <c r="R49" s="40" t="s">
        <v>317</v>
      </c>
    </row>
    <row r="50" spans="2:24" ht="105" hidden="1">
      <c r="B50" s="28" t="s">
        <v>321</v>
      </c>
      <c r="C50" s="29" t="s">
        <v>322</v>
      </c>
      <c r="D50" s="29" t="s">
        <v>66</v>
      </c>
      <c r="E50" s="24">
        <v>60000</v>
      </c>
      <c r="F50" s="26" t="s">
        <v>64</v>
      </c>
      <c r="G50" s="17"/>
      <c r="H50" s="22" t="s">
        <v>97</v>
      </c>
      <c r="I50" s="23" t="s">
        <v>323</v>
      </c>
      <c r="J50" s="23" t="s">
        <v>324</v>
      </c>
      <c r="K50" s="45">
        <f>E63*Q87</f>
        <v>0</v>
      </c>
      <c r="L50" s="40" t="s">
        <v>64</v>
      </c>
      <c r="N50" s="22" t="s">
        <v>325</v>
      </c>
      <c r="O50" s="23" t="s">
        <v>326</v>
      </c>
      <c r="P50" s="23" t="s">
        <v>58</v>
      </c>
      <c r="Q50" s="45">
        <f>VLOOKUP($D$40,$T$42:$AU$49,18,FALSE)</f>
        <v>1500</v>
      </c>
      <c r="R50" s="40" t="s">
        <v>327</v>
      </c>
    </row>
    <row r="51" spans="2:24" ht="30" hidden="1">
      <c r="B51" s="322" t="s">
        <v>328</v>
      </c>
      <c r="C51" s="323"/>
      <c r="D51" s="323"/>
      <c r="E51" s="323"/>
      <c r="F51" s="324"/>
      <c r="G51" s="17"/>
      <c r="H51" s="22" t="s">
        <v>329</v>
      </c>
      <c r="I51" s="29" t="s">
        <v>330</v>
      </c>
      <c r="J51" s="29" t="s">
        <v>331</v>
      </c>
      <c r="K51" s="45">
        <f>Q88</f>
        <v>31280</v>
      </c>
      <c r="L51" s="40" t="s">
        <v>64</v>
      </c>
      <c r="N51" s="22" t="s">
        <v>332</v>
      </c>
      <c r="O51" s="23" t="s">
        <v>333</v>
      </c>
      <c r="P51" s="23" t="s">
        <v>58</v>
      </c>
      <c r="Q51" s="45">
        <f>VLOOKUP($D$40,$T$42:$AU$49,19,FALSE)</f>
        <v>8</v>
      </c>
      <c r="R51" s="40" t="s">
        <v>317</v>
      </c>
    </row>
    <row r="52" spans="2:24" ht="30" hidden="1">
      <c r="B52" s="30" t="s">
        <v>334</v>
      </c>
      <c r="C52" s="29" t="s">
        <v>248</v>
      </c>
      <c r="D52" s="29">
        <v>0</v>
      </c>
      <c r="E52" s="31">
        <f>B14</f>
        <v>0</v>
      </c>
      <c r="F52" s="32" t="s">
        <v>66</v>
      </c>
      <c r="G52" s="17"/>
      <c r="H52" s="322" t="s">
        <v>335</v>
      </c>
      <c r="I52" s="323"/>
      <c r="J52" s="323"/>
      <c r="K52" s="323"/>
      <c r="L52" s="324"/>
      <c r="N52" s="22" t="s">
        <v>336</v>
      </c>
      <c r="O52" s="23" t="s">
        <v>337</v>
      </c>
      <c r="P52" s="23" t="s">
        <v>58</v>
      </c>
      <c r="Q52" s="45">
        <f>VLOOKUP($D$40,$T$42:$AU$49,28,FALSE)</f>
        <v>1</v>
      </c>
      <c r="R52" s="40" t="s">
        <v>317</v>
      </c>
    </row>
    <row r="53" spans="2:24" ht="90" hidden="1">
      <c r="B53" s="23" t="s">
        <v>92</v>
      </c>
      <c r="C53" s="23" t="s">
        <v>338</v>
      </c>
      <c r="D53" s="23">
        <v>0</v>
      </c>
      <c r="E53" s="24">
        <v>0</v>
      </c>
      <c r="F53" s="25" t="s">
        <v>64</v>
      </c>
      <c r="G53" s="17"/>
      <c r="H53" s="30" t="s">
        <v>73</v>
      </c>
      <c r="I53" s="29" t="s">
        <v>339</v>
      </c>
      <c r="J53" s="29" t="s">
        <v>340</v>
      </c>
      <c r="K53" s="42">
        <f>ROUNDUP((1000*E48-1000*Q50/Q43)/1000,0)</f>
        <v>59982</v>
      </c>
      <c r="L53" s="43" t="s">
        <v>64</v>
      </c>
      <c r="N53" s="22" t="s">
        <v>341</v>
      </c>
      <c r="O53" s="23" t="s">
        <v>342</v>
      </c>
      <c r="P53" s="23" t="s">
        <v>58</v>
      </c>
      <c r="Q53" s="45">
        <f>VLOOKUP($D$40,$T$42:$AU$49,27,FALSE)</f>
        <v>1</v>
      </c>
      <c r="R53" s="129" t="s">
        <v>66</v>
      </c>
      <c r="S53" s="36"/>
    </row>
    <row r="54" spans="2:24" ht="30" hidden="1">
      <c r="B54" s="322" t="s">
        <v>343</v>
      </c>
      <c r="C54" s="323"/>
      <c r="D54" s="323"/>
      <c r="E54" s="323"/>
      <c r="F54" s="324"/>
      <c r="G54" s="17"/>
      <c r="H54" s="30" t="s">
        <v>344</v>
      </c>
      <c r="I54" s="29" t="s">
        <v>345</v>
      </c>
      <c r="J54" s="29" t="s">
        <v>318</v>
      </c>
      <c r="K54" s="42">
        <f>E49</f>
        <v>0</v>
      </c>
      <c r="L54" s="43" t="s">
        <v>64</v>
      </c>
      <c r="N54" s="22" t="s">
        <v>346</v>
      </c>
      <c r="O54" s="23" t="s">
        <v>347</v>
      </c>
      <c r="P54" s="23" t="s">
        <v>58</v>
      </c>
      <c r="Q54" s="45">
        <f>VLOOKUP($D$40,$T$42:$AU$49,21,FALSE)</f>
        <v>1</v>
      </c>
      <c r="R54" s="40" t="s">
        <v>317</v>
      </c>
      <c r="S54" s="36"/>
    </row>
    <row r="55" spans="2:24" ht="195" hidden="1">
      <c r="B55" s="22" t="s">
        <v>348</v>
      </c>
      <c r="C55" s="23" t="s">
        <v>349</v>
      </c>
      <c r="D55" s="23">
        <v>0</v>
      </c>
      <c r="E55" s="24">
        <v>0</v>
      </c>
      <c r="F55" s="25" t="s">
        <v>298</v>
      </c>
      <c r="G55" s="17"/>
      <c r="H55" s="30" t="s">
        <v>350</v>
      </c>
      <c r="I55" s="29" t="s">
        <v>351</v>
      </c>
      <c r="J55" s="29" t="s">
        <v>352</v>
      </c>
      <c r="K55" s="44">
        <f>IF(Q53=1,IF((MAX(K47,K48,K49,K51)-K53)&lt;K47,(IF((MAX(K47,K48,K49,K51)-K53)&gt;=(K47-ROUNDUP(Q51*K43/1000,0)),1,0)),0),0)</f>
        <v>0</v>
      </c>
      <c r="L55" s="46" t="s">
        <v>66</v>
      </c>
      <c r="N55" s="322" t="s">
        <v>353</v>
      </c>
      <c r="O55" s="323"/>
      <c r="P55" s="323"/>
      <c r="Q55" s="323"/>
      <c r="R55" s="324"/>
      <c r="S55" s="36"/>
      <c r="T55" s="335" t="s">
        <v>354</v>
      </c>
      <c r="U55" s="336"/>
      <c r="V55" s="336"/>
      <c r="W55" s="336"/>
      <c r="X55" s="337"/>
    </row>
    <row r="56" spans="2:24" ht="90" hidden="1">
      <c r="B56" s="30" t="s">
        <v>355</v>
      </c>
      <c r="C56" s="29" t="s">
        <v>356</v>
      </c>
      <c r="D56" s="29">
        <v>0</v>
      </c>
      <c r="E56" s="31">
        <v>0</v>
      </c>
      <c r="F56" s="26" t="s">
        <v>298</v>
      </c>
      <c r="G56" s="17"/>
      <c r="H56" s="30" t="s">
        <v>357</v>
      </c>
      <c r="I56" s="29" t="s">
        <v>358</v>
      </c>
      <c r="J56" s="29" t="s">
        <v>359</v>
      </c>
      <c r="K56" s="42">
        <f>IF(K55=1,K47-(MAX(K47,K48,K49,K51)-K53),0)</f>
        <v>0</v>
      </c>
      <c r="L56" s="46" t="s">
        <v>64</v>
      </c>
      <c r="N56" s="22" t="s">
        <v>360</v>
      </c>
      <c r="O56" s="23" t="s">
        <v>361</v>
      </c>
      <c r="P56" s="23" t="s">
        <v>362</v>
      </c>
      <c r="Q56" s="45">
        <f>ROUNDUP(1000*Q47*Q44/Q43,0)</f>
        <v>6500</v>
      </c>
      <c r="R56" s="40" t="s">
        <v>55</v>
      </c>
      <c r="T56" s="18" t="s">
        <v>152</v>
      </c>
      <c r="U56" s="19" t="s">
        <v>154</v>
      </c>
      <c r="V56" s="19" t="s">
        <v>41</v>
      </c>
      <c r="W56" s="19" t="s">
        <v>44</v>
      </c>
      <c r="X56" s="20" t="s">
        <v>155</v>
      </c>
    </row>
    <row r="57" spans="2:24" ht="75" hidden="1">
      <c r="B57" s="30" t="s">
        <v>363</v>
      </c>
      <c r="C57" s="29" t="s">
        <v>238</v>
      </c>
      <c r="D57" s="29">
        <f>VLOOKUP($D$40,$T$42:$AU$49,24,FALSE)</f>
        <v>16544</v>
      </c>
      <c r="E57" s="31">
        <f>B4</f>
        <v>16544</v>
      </c>
      <c r="F57" s="26" t="s">
        <v>298</v>
      </c>
      <c r="G57" s="17"/>
      <c r="H57" s="322" t="s">
        <v>364</v>
      </c>
      <c r="I57" s="323"/>
      <c r="J57" s="323"/>
      <c r="K57" s="323"/>
      <c r="L57" s="324"/>
      <c r="N57" s="22" t="s">
        <v>365</v>
      </c>
      <c r="O57" s="23" t="s">
        <v>366</v>
      </c>
      <c r="P57" s="23" t="s">
        <v>367</v>
      </c>
      <c r="Q57" s="44">
        <f>INT((E58*E73*Q56)/1000)</f>
        <v>59800</v>
      </c>
      <c r="R57" s="40" t="s">
        <v>64</v>
      </c>
      <c r="T57" s="63" t="s">
        <v>368</v>
      </c>
      <c r="U57" s="56" t="s">
        <v>369</v>
      </c>
      <c r="V57" s="64" t="s">
        <v>370</v>
      </c>
      <c r="W57" s="23" t="s">
        <v>318</v>
      </c>
      <c r="X57" s="32" t="str">
        <f>DEC2HEX(E49)</f>
        <v>0</v>
      </c>
    </row>
    <row r="58" spans="2:24" ht="225" hidden="1">
      <c r="B58" s="30" t="s">
        <v>371</v>
      </c>
      <c r="C58" s="29" t="s">
        <v>239</v>
      </c>
      <c r="D58" s="29">
        <f>VLOOKUP($D$40,$T$42:$AU$49,25,FALSE)</f>
        <v>9200</v>
      </c>
      <c r="E58" s="31">
        <f>B5</f>
        <v>9200</v>
      </c>
      <c r="F58" s="26" t="s">
        <v>298</v>
      </c>
      <c r="H58" s="30" t="s">
        <v>372</v>
      </c>
      <c r="I58" s="29" t="s">
        <v>373</v>
      </c>
      <c r="J58" s="29" t="s">
        <v>374</v>
      </c>
      <c r="K58" s="42" t="str">
        <f>IF(AND(E52=1,E46="TriggerWidth"),ROUNDUP(Q62+IF(E50&gt;E47,E50-E47,0)+Q54*Q61/1000,0),"null")</f>
        <v>null</v>
      </c>
      <c r="L58" s="46" t="s">
        <v>64</v>
      </c>
      <c r="N58" s="22" t="s">
        <v>375</v>
      </c>
      <c r="O58" s="23" t="s">
        <v>376</v>
      </c>
      <c r="P58" s="23" t="s">
        <v>377</v>
      </c>
      <c r="Q58" s="45">
        <f>IF(K51&lt;=Q57,0,K51-Q57)</f>
        <v>0</v>
      </c>
      <c r="R58" s="40" t="s">
        <v>64</v>
      </c>
      <c r="T58" s="65" t="s">
        <v>378</v>
      </c>
      <c r="U58" s="56" t="s">
        <v>379</v>
      </c>
      <c r="V58" s="64" t="s">
        <v>380</v>
      </c>
      <c r="W58" s="23" t="s">
        <v>73</v>
      </c>
      <c r="X58" s="66" t="str">
        <f>DEC2HEX(K53)</f>
        <v>EA4E</v>
      </c>
    </row>
    <row r="59" spans="2:24" ht="330" hidden="1">
      <c r="B59" s="322" t="s">
        <v>381</v>
      </c>
      <c r="C59" s="323"/>
      <c r="D59" s="323"/>
      <c r="E59" s="323"/>
      <c r="F59" s="324"/>
      <c r="H59" s="30" t="s">
        <v>382</v>
      </c>
      <c r="I59" s="29" t="s">
        <v>383</v>
      </c>
      <c r="J59" s="29" t="s">
        <v>384</v>
      </c>
      <c r="K59" s="42" t="str">
        <f>IF(AND(E52=1,E46="TriggerWidth"),ROUNDUP(IF(E50&gt;E47,E50-K43*Q49/1000+Q50/Q43,E47-K43*Q49/1000+Q50/Q43),0),"null")</f>
        <v>null</v>
      </c>
      <c r="L59" s="46" t="s">
        <v>64</v>
      </c>
      <c r="N59" s="22" t="s">
        <v>385</v>
      </c>
      <c r="O59" s="23" t="s">
        <v>386</v>
      </c>
      <c r="P59" s="23" t="s">
        <v>387</v>
      </c>
      <c r="Q59" s="45">
        <f>ROUNDUP(1000*Q58/(E58*E73),0)</f>
        <v>0</v>
      </c>
      <c r="R59" s="40" t="s">
        <v>55</v>
      </c>
      <c r="T59" s="65" t="s">
        <v>388</v>
      </c>
      <c r="U59" s="56" t="s">
        <v>389</v>
      </c>
      <c r="V59" s="64" t="s">
        <v>390</v>
      </c>
      <c r="W59" s="23" t="s">
        <v>79</v>
      </c>
      <c r="X59" s="66" t="str">
        <f>DEC2HEX(K47)</f>
        <v>EF14</v>
      </c>
    </row>
    <row r="60" spans="2:24" ht="105" hidden="1">
      <c r="B60" s="30" t="s">
        <v>391</v>
      </c>
      <c r="C60" s="29" t="s">
        <v>251</v>
      </c>
      <c r="D60" s="33" t="s">
        <v>66</v>
      </c>
      <c r="E60" s="31">
        <f>B17</f>
        <v>12.5</v>
      </c>
      <c r="F60" s="26" t="s">
        <v>392</v>
      </c>
      <c r="H60" s="322" t="s">
        <v>393</v>
      </c>
      <c r="I60" s="323"/>
      <c r="J60" s="323"/>
      <c r="K60" s="323"/>
      <c r="L60" s="324"/>
      <c r="N60" s="22" t="s">
        <v>65</v>
      </c>
      <c r="O60" s="23" t="s">
        <v>394</v>
      </c>
      <c r="P60" s="23" t="s">
        <v>395</v>
      </c>
      <c r="Q60" s="45">
        <f>ROUNDUP((ROUNDUP(Q59*Q43/Q47/1000,0)+Q44)/4,0)*4</f>
        <v>260</v>
      </c>
      <c r="R60" s="40" t="s">
        <v>298</v>
      </c>
      <c r="T60" s="65" t="s">
        <v>396</v>
      </c>
      <c r="U60" s="56" t="s">
        <v>397</v>
      </c>
      <c r="V60" s="64" t="s">
        <v>398</v>
      </c>
      <c r="W60" s="23" t="s">
        <v>399</v>
      </c>
      <c r="X60" s="66" t="str">
        <f>DEC2HEX(MAX(K47,K48,K49,K50))</f>
        <v>EF96</v>
      </c>
    </row>
    <row r="61" spans="2:24" ht="75" hidden="1">
      <c r="B61" s="30" t="s">
        <v>400</v>
      </c>
      <c r="C61" s="29" t="s">
        <v>252</v>
      </c>
      <c r="D61" s="33" t="s">
        <v>66</v>
      </c>
      <c r="E61" s="31">
        <f>B18</f>
        <v>4</v>
      </c>
      <c r="F61" s="26" t="s">
        <v>66</v>
      </c>
      <c r="H61" s="30" t="s">
        <v>401</v>
      </c>
      <c r="I61" s="29" t="s">
        <v>402</v>
      </c>
      <c r="J61" s="29" t="s">
        <v>403</v>
      </c>
      <c r="K61" s="42">
        <f>K45*4*Q76*E58/1000000</f>
        <v>2481.5730263801479</v>
      </c>
      <c r="L61" s="32" t="s">
        <v>141</v>
      </c>
      <c r="N61" s="22" t="s">
        <v>293</v>
      </c>
      <c r="O61" s="23" t="s">
        <v>404</v>
      </c>
      <c r="P61" s="23" t="s">
        <v>405</v>
      </c>
      <c r="Q61" s="45">
        <f>ROUNDUP(1000*Q47*Q60/Q43,0)</f>
        <v>6500</v>
      </c>
      <c r="R61" s="40" t="s">
        <v>55</v>
      </c>
      <c r="T61" s="65" t="s">
        <v>406</v>
      </c>
      <c r="U61" s="56" t="s">
        <v>407</v>
      </c>
      <c r="V61" s="64" t="s">
        <v>408</v>
      </c>
      <c r="W61" s="23" t="s">
        <v>409</v>
      </c>
      <c r="X61" s="66" t="str">
        <f>DEC2HEX(MAX(K47,K48,K49))</f>
        <v>EF96</v>
      </c>
    </row>
    <row r="62" spans="2:24" ht="105" hidden="1">
      <c r="B62" s="30" t="s">
        <v>410</v>
      </c>
      <c r="C62" s="29" t="s">
        <v>247</v>
      </c>
      <c r="D62" s="33">
        <v>16384</v>
      </c>
      <c r="E62" s="31">
        <f>B13</f>
        <v>8192</v>
      </c>
      <c r="F62" s="26" t="s">
        <v>116</v>
      </c>
      <c r="H62" s="34" t="s">
        <v>411</v>
      </c>
      <c r="I62" s="47" t="s">
        <v>412</v>
      </c>
      <c r="J62" s="29" t="s">
        <v>413</v>
      </c>
      <c r="K62" s="42">
        <f>4*K45*Q82/1000000</f>
        <v>2497.3795284833859</v>
      </c>
      <c r="L62" s="32" t="s">
        <v>141</v>
      </c>
      <c r="N62" s="22" t="s">
        <v>310</v>
      </c>
      <c r="O62" s="23" t="s">
        <v>414</v>
      </c>
      <c r="P62" s="23" t="s">
        <v>415</v>
      </c>
      <c r="Q62" s="45">
        <f>ROUNDUP(((E58*E73+Q48+Q52+Q54)*Q61+Q46)/1000,0)</f>
        <v>61204</v>
      </c>
      <c r="R62" s="40" t="s">
        <v>64</v>
      </c>
      <c r="T62" s="65" t="s">
        <v>416</v>
      </c>
      <c r="U62" s="56" t="s">
        <v>417</v>
      </c>
      <c r="V62" s="64" t="s">
        <v>418</v>
      </c>
      <c r="W62" s="23" t="s">
        <v>419</v>
      </c>
      <c r="X62" s="66" t="str">
        <f>DEC2HEX(MAX(K47,K48))</f>
        <v>EF96</v>
      </c>
    </row>
    <row r="63" spans="2:24" ht="39" hidden="1" customHeight="1">
      <c r="B63" s="30" t="s">
        <v>420</v>
      </c>
      <c r="C63" s="29" t="s">
        <v>253</v>
      </c>
      <c r="D63" s="33">
        <v>0</v>
      </c>
      <c r="E63" s="24">
        <f>B19</f>
        <v>0</v>
      </c>
      <c r="F63" s="26" t="s">
        <v>66</v>
      </c>
      <c r="H63" s="34" t="s">
        <v>421</v>
      </c>
      <c r="I63" s="47" t="s">
        <v>422</v>
      </c>
      <c r="J63" s="29" t="s">
        <v>423</v>
      </c>
      <c r="K63" s="42">
        <f>E61*E60*8*1000*(100-E76)/100/10/8</f>
        <v>4950</v>
      </c>
      <c r="L63" s="32" t="s">
        <v>141</v>
      </c>
      <c r="N63" s="325" t="s">
        <v>424</v>
      </c>
      <c r="O63" s="326"/>
      <c r="P63" s="326"/>
      <c r="Q63" s="326"/>
      <c r="R63" s="327"/>
      <c r="T63" s="63" t="s">
        <v>425</v>
      </c>
      <c r="U63" s="56" t="s">
        <v>426</v>
      </c>
      <c r="V63" s="64" t="s">
        <v>427</v>
      </c>
      <c r="W63" s="23" t="s">
        <v>428</v>
      </c>
      <c r="X63" s="32" t="str">
        <f>DEC2HEX(IF(Q53=1,ROUNDUP(6*K43/1000,0),0))</f>
        <v>27</v>
      </c>
    </row>
    <row r="64" spans="2:24" ht="36.75" hidden="1" customHeight="1">
      <c r="B64" s="30" t="s">
        <v>429</v>
      </c>
      <c r="C64" s="29" t="s">
        <v>254</v>
      </c>
      <c r="D64" s="33">
        <v>5000000000</v>
      </c>
      <c r="E64" s="31">
        <f>B20</f>
        <v>5000000000</v>
      </c>
      <c r="F64" s="26" t="s">
        <v>430</v>
      </c>
      <c r="H64" s="35" t="s">
        <v>431</v>
      </c>
      <c r="I64" s="48" t="s">
        <v>432</v>
      </c>
      <c r="J64" s="49" t="s">
        <v>433</v>
      </c>
      <c r="K64" s="50">
        <f>4*Q76*1000000000/Q61/1000000</f>
        <v>2545.2307692307691</v>
      </c>
      <c r="L64" s="51" t="s">
        <v>141</v>
      </c>
      <c r="N64" s="18" t="s">
        <v>40</v>
      </c>
      <c r="O64" s="19" t="s">
        <v>41</v>
      </c>
      <c r="P64" s="19" t="s">
        <v>44</v>
      </c>
      <c r="Q64" s="19" t="s">
        <v>47</v>
      </c>
      <c r="R64" s="54" t="s">
        <v>46</v>
      </c>
      <c r="T64" s="63" t="s">
        <v>434</v>
      </c>
      <c r="U64" s="56" t="s">
        <v>435</v>
      </c>
      <c r="V64" s="64" t="s">
        <v>436</v>
      </c>
      <c r="W64" s="23" t="s">
        <v>305</v>
      </c>
      <c r="X64" s="67">
        <f>IF(AND(E52=1,E46="TriggerWidth"),1,0)</f>
        <v>0</v>
      </c>
    </row>
    <row r="65" spans="2:24" ht="40.5" hidden="1" customHeight="1">
      <c r="B65" s="322" t="s">
        <v>437</v>
      </c>
      <c r="C65" s="323"/>
      <c r="D65" s="323"/>
      <c r="E65" s="323"/>
      <c r="F65" s="324"/>
      <c r="N65" s="22" t="s">
        <v>438</v>
      </c>
      <c r="O65" s="23" t="s">
        <v>439</v>
      </c>
      <c r="P65" s="23" t="s">
        <v>440</v>
      </c>
      <c r="Q65" s="45">
        <v>1</v>
      </c>
      <c r="R65" s="40" t="s">
        <v>441</v>
      </c>
      <c r="T65" s="87" t="s">
        <v>442</v>
      </c>
      <c r="U65" s="56" t="s">
        <v>443</v>
      </c>
      <c r="V65" s="29" t="s">
        <v>444</v>
      </c>
      <c r="W65" s="29" t="s">
        <v>66</v>
      </c>
      <c r="X65" s="67">
        <v>1</v>
      </c>
    </row>
    <row r="66" spans="2:24" ht="40.5" hidden="1" customHeight="1">
      <c r="B66" s="22" t="s">
        <v>445</v>
      </c>
      <c r="C66" s="23" t="s">
        <v>446</v>
      </c>
      <c r="D66" s="23">
        <v>0</v>
      </c>
      <c r="E66" s="24">
        <f>B16</f>
        <v>0</v>
      </c>
      <c r="F66" s="25" t="s">
        <v>66</v>
      </c>
      <c r="N66" s="22" t="s">
        <v>447</v>
      </c>
      <c r="O66" s="23" t="s">
        <v>448</v>
      </c>
      <c r="P66" s="23" t="s">
        <v>440</v>
      </c>
      <c r="Q66" s="45">
        <v>1</v>
      </c>
      <c r="R66" s="40" t="s">
        <v>441</v>
      </c>
      <c r="T66" s="342" t="s">
        <v>449</v>
      </c>
      <c r="U66" s="343"/>
      <c r="V66" s="343"/>
      <c r="W66" s="343"/>
      <c r="X66" s="344"/>
    </row>
    <row r="67" spans="2:24" ht="42" hidden="1" customHeight="1">
      <c r="B67" s="78" t="s">
        <v>183</v>
      </c>
      <c r="C67" s="79" t="s">
        <v>450</v>
      </c>
      <c r="D67" s="79">
        <f>VLOOKUP($D$40,$T$42:$AU$49,26,FALSE)</f>
        <v>16</v>
      </c>
      <c r="E67" s="80">
        <f>B15</f>
        <v>16</v>
      </c>
      <c r="F67" s="81" t="s">
        <v>70</v>
      </c>
      <c r="N67" s="22" t="s">
        <v>451</v>
      </c>
      <c r="O67" s="23" t="s">
        <v>452</v>
      </c>
      <c r="P67" s="23" t="s">
        <v>453</v>
      </c>
      <c r="Q67" s="45">
        <v>4</v>
      </c>
      <c r="R67" s="40" t="s">
        <v>441</v>
      </c>
      <c r="T67" s="18" t="s">
        <v>152</v>
      </c>
      <c r="U67" s="19" t="s">
        <v>154</v>
      </c>
      <c r="V67" s="19" t="s">
        <v>41</v>
      </c>
      <c r="W67" s="19" t="s">
        <v>44</v>
      </c>
      <c r="X67" s="20" t="s">
        <v>155</v>
      </c>
    </row>
    <row r="68" spans="2:24" ht="41.25" hidden="1" customHeight="1">
      <c r="B68" s="322" t="s">
        <v>454</v>
      </c>
      <c r="C68" s="323"/>
      <c r="D68" s="323"/>
      <c r="E68" s="323"/>
      <c r="F68" s="324"/>
      <c r="N68" s="22" t="s">
        <v>455</v>
      </c>
      <c r="O68" s="23" t="s">
        <v>456</v>
      </c>
      <c r="P68" s="23" t="s">
        <v>440</v>
      </c>
      <c r="Q68" s="45">
        <v>1</v>
      </c>
      <c r="R68" s="40" t="s">
        <v>441</v>
      </c>
      <c r="T68" s="63" t="s">
        <v>457</v>
      </c>
      <c r="U68" s="56" t="s">
        <v>458</v>
      </c>
      <c r="V68" s="64" t="s">
        <v>459</v>
      </c>
      <c r="W68" s="23" t="s">
        <v>457</v>
      </c>
      <c r="X68" s="32" t="str">
        <f>DEC2HEX(Q76)</f>
        <v>1028</v>
      </c>
    </row>
    <row r="69" spans="2:24" ht="45" hidden="1">
      <c r="B69" s="22" t="s">
        <v>460</v>
      </c>
      <c r="C69" s="23" t="s">
        <v>461</v>
      </c>
      <c r="D69" s="23">
        <v>1</v>
      </c>
      <c r="E69" s="24">
        <f>B8</f>
        <v>1</v>
      </c>
      <c r="F69" s="25" t="s">
        <v>66</v>
      </c>
      <c r="N69" s="22" t="s">
        <v>462</v>
      </c>
      <c r="O69" s="23" t="s">
        <v>463</v>
      </c>
      <c r="P69" s="23" t="s">
        <v>440</v>
      </c>
      <c r="Q69" s="45">
        <v>1</v>
      </c>
      <c r="R69" s="40" t="s">
        <v>441</v>
      </c>
      <c r="T69" s="88" t="s">
        <v>464</v>
      </c>
      <c r="U69" s="56" t="s">
        <v>465</v>
      </c>
      <c r="V69" s="64" t="s">
        <v>466</v>
      </c>
      <c r="W69" s="23" t="s">
        <v>464</v>
      </c>
      <c r="X69" s="89" t="str">
        <f>DEC2HEX(Q77-4294967296*INT(Q77/4294967296))</f>
        <v>244E579</v>
      </c>
    </row>
    <row r="70" spans="2:24" ht="45" hidden="1">
      <c r="B70" s="78" t="s">
        <v>467</v>
      </c>
      <c r="C70" s="79" t="s">
        <v>468</v>
      </c>
      <c r="D70" s="79">
        <v>1</v>
      </c>
      <c r="E70" s="80">
        <f>B9</f>
        <v>1</v>
      </c>
      <c r="F70" s="81" t="s">
        <v>66</v>
      </c>
      <c r="N70" s="22" t="s">
        <v>469</v>
      </c>
      <c r="O70" s="23" t="s">
        <v>470</v>
      </c>
      <c r="P70" s="23" t="s">
        <v>471</v>
      </c>
      <c r="Q70" s="45">
        <v>4</v>
      </c>
      <c r="R70" s="40" t="s">
        <v>441</v>
      </c>
      <c r="T70" s="88" t="s">
        <v>472</v>
      </c>
      <c r="U70" s="56" t="s">
        <v>473</v>
      </c>
      <c r="V70" s="64" t="s">
        <v>474</v>
      </c>
      <c r="W70" s="23" t="s">
        <v>472</v>
      </c>
      <c r="X70" s="89" t="str">
        <f>DEC2HEX(INT(Q77/4294967296))</f>
        <v>0</v>
      </c>
    </row>
    <row r="71" spans="2:24" ht="135" hidden="1">
      <c r="B71" s="322" t="s">
        <v>475</v>
      </c>
      <c r="C71" s="323"/>
      <c r="D71" s="323"/>
      <c r="E71" s="323"/>
      <c r="F71" s="324"/>
      <c r="N71" s="22" t="s">
        <v>476</v>
      </c>
      <c r="O71" s="29" t="s">
        <v>477</v>
      </c>
      <c r="P71" s="23" t="s">
        <v>478</v>
      </c>
      <c r="Q71" s="45">
        <f>Q65+Q66+Q67+Q68+Q69</f>
        <v>8</v>
      </c>
      <c r="R71" s="40" t="s">
        <v>441</v>
      </c>
      <c r="T71" s="90" t="s">
        <v>479</v>
      </c>
      <c r="U71" s="91" t="s">
        <v>480</v>
      </c>
      <c r="V71" s="29" t="s">
        <v>481</v>
      </c>
      <c r="W71" s="23" t="s">
        <v>479</v>
      </c>
      <c r="X71" s="92" t="str">
        <f>DEC2HEX(Q78)</f>
        <v>7F8</v>
      </c>
    </row>
    <row r="72" spans="2:24" ht="30" hidden="1">
      <c r="B72" s="22" t="s">
        <v>482</v>
      </c>
      <c r="C72" s="23" t="s">
        <v>483</v>
      </c>
      <c r="D72" s="23">
        <v>1</v>
      </c>
      <c r="E72" s="24">
        <f>B6</f>
        <v>1</v>
      </c>
      <c r="F72" s="25" t="s">
        <v>66</v>
      </c>
      <c r="N72" s="322" t="s">
        <v>484</v>
      </c>
      <c r="O72" s="323"/>
      <c r="P72" s="323"/>
      <c r="Q72" s="323"/>
      <c r="R72" s="324"/>
      <c r="T72" s="90" t="s">
        <v>485</v>
      </c>
      <c r="U72" s="91" t="s">
        <v>486</v>
      </c>
      <c r="V72" s="29" t="s">
        <v>487</v>
      </c>
      <c r="W72" s="23" t="s">
        <v>488</v>
      </c>
      <c r="X72" s="92" t="str">
        <f>DEC2HEX(Q79)</f>
        <v>48E5</v>
      </c>
    </row>
    <row r="73" spans="2:24" ht="30" hidden="1">
      <c r="B73" s="78" t="s">
        <v>489</v>
      </c>
      <c r="C73" s="79" t="s">
        <v>490</v>
      </c>
      <c r="D73" s="79">
        <v>1</v>
      </c>
      <c r="E73" s="80">
        <f>B7</f>
        <v>1</v>
      </c>
      <c r="F73" s="81" t="s">
        <v>66</v>
      </c>
      <c r="N73" s="18" t="s">
        <v>40</v>
      </c>
      <c r="O73" s="19" t="s">
        <v>41</v>
      </c>
      <c r="P73" s="19" t="s">
        <v>44</v>
      </c>
      <c r="Q73" s="19" t="s">
        <v>47</v>
      </c>
      <c r="R73" s="54" t="s">
        <v>46</v>
      </c>
      <c r="T73" s="90" t="s">
        <v>491</v>
      </c>
      <c r="U73" s="91" t="s">
        <v>492</v>
      </c>
      <c r="V73" s="29" t="s">
        <v>493</v>
      </c>
      <c r="W73" s="23" t="s">
        <v>494</v>
      </c>
      <c r="X73" s="92" t="str">
        <f>DEC2HEX(Q80)</f>
        <v>4A1</v>
      </c>
    </row>
    <row r="74" spans="2:24" ht="30" hidden="1">
      <c r="B74" s="345" t="s">
        <v>495</v>
      </c>
      <c r="C74" s="346"/>
      <c r="D74" s="346"/>
      <c r="E74" s="346"/>
      <c r="F74" s="347"/>
      <c r="N74" s="22" t="s">
        <v>496</v>
      </c>
      <c r="O74" s="29" t="s">
        <v>497</v>
      </c>
      <c r="P74" s="23" t="s">
        <v>498</v>
      </c>
      <c r="Q74" s="45">
        <v>25</v>
      </c>
      <c r="R74" s="40" t="s">
        <v>441</v>
      </c>
      <c r="T74" s="30" t="s">
        <v>499</v>
      </c>
      <c r="U74" s="91" t="s">
        <v>500</v>
      </c>
      <c r="V74" s="29" t="s">
        <v>501</v>
      </c>
      <c r="W74" s="93" t="s">
        <v>502</v>
      </c>
      <c r="X74" s="92" t="str">
        <f>DEC2HEX(65536*E61+IF(E60=6.25,HEX2DEC(48),IF(E60=12.5,HEX2DEC(58),HEX2DEC(58))))</f>
        <v>40058</v>
      </c>
    </row>
    <row r="75" spans="2:24" ht="60" hidden="1">
      <c r="B75" s="30" t="s">
        <v>503</v>
      </c>
      <c r="C75" s="29" t="s">
        <v>504</v>
      </c>
      <c r="D75" s="33">
        <v>0</v>
      </c>
      <c r="E75" s="31">
        <v>0</v>
      </c>
      <c r="F75" s="26" t="s">
        <v>441</v>
      </c>
      <c r="N75" s="22" t="s">
        <v>505</v>
      </c>
      <c r="O75" s="29" t="s">
        <v>506</v>
      </c>
      <c r="P75" s="23" t="s">
        <v>507</v>
      </c>
      <c r="Q75" s="45">
        <v>2</v>
      </c>
      <c r="R75" s="40" t="s">
        <v>441</v>
      </c>
      <c r="T75" s="94" t="s">
        <v>508</v>
      </c>
      <c r="U75" s="95" t="s">
        <v>509</v>
      </c>
      <c r="V75" s="49" t="s">
        <v>510</v>
      </c>
      <c r="W75" s="96" t="s">
        <v>504</v>
      </c>
      <c r="X75" s="97" t="str">
        <f>DEC2HEX(E75)</f>
        <v>0</v>
      </c>
    </row>
    <row r="76" spans="2:24" ht="195" hidden="1">
      <c r="B76" s="30" t="s">
        <v>511</v>
      </c>
      <c r="C76" s="29" t="s">
        <v>512</v>
      </c>
      <c r="D76" s="33">
        <v>1</v>
      </c>
      <c r="E76" s="31">
        <v>1</v>
      </c>
      <c r="F76" s="26" t="s">
        <v>513</v>
      </c>
      <c r="N76" s="22" t="s">
        <v>457</v>
      </c>
      <c r="O76" s="29" t="s">
        <v>459</v>
      </c>
      <c r="P76" s="23" t="s">
        <v>514</v>
      </c>
      <c r="Q76" s="44">
        <f>ROUNDUP(E57*2*E44/16/4,0)</f>
        <v>4136</v>
      </c>
      <c r="R76" s="40" t="s">
        <v>441</v>
      </c>
    </row>
    <row r="77" spans="2:24" ht="45" hidden="1">
      <c r="B77" s="348" t="s">
        <v>515</v>
      </c>
      <c r="C77" s="349"/>
      <c r="D77" s="349"/>
      <c r="E77" s="349"/>
      <c r="F77" s="350"/>
      <c r="N77" s="30" t="s">
        <v>516</v>
      </c>
      <c r="O77" s="29" t="s">
        <v>517</v>
      </c>
      <c r="P77" s="23" t="s">
        <v>518</v>
      </c>
      <c r="Q77" s="44">
        <f>E58*(Q75+Q76)+Q74</f>
        <v>38069625</v>
      </c>
      <c r="R77" s="40" t="s">
        <v>441</v>
      </c>
    </row>
    <row r="78" spans="2:24" ht="90" hidden="1">
      <c r="B78" s="82" t="s">
        <v>7</v>
      </c>
      <c r="C78" s="351" t="s">
        <v>519</v>
      </c>
      <c r="D78" s="351"/>
      <c r="E78" s="352">
        <f>K45</f>
        <v>16.304170606841229</v>
      </c>
      <c r="F78" s="353"/>
      <c r="N78" s="30" t="s">
        <v>479</v>
      </c>
      <c r="O78" s="29" t="s">
        <v>481</v>
      </c>
      <c r="P78" s="23" t="s">
        <v>520</v>
      </c>
      <c r="Q78" s="45">
        <f>IF(E62/4&gt;=Q71,E62/4-Q71,0)</f>
        <v>2040</v>
      </c>
      <c r="R78" s="40" t="s">
        <v>441</v>
      </c>
    </row>
    <row r="79" spans="2:24" ht="90" hidden="1">
      <c r="N79" s="22" t="s">
        <v>488</v>
      </c>
      <c r="O79" s="29" t="s">
        <v>487</v>
      </c>
      <c r="P79" s="23" t="s">
        <v>521</v>
      </c>
      <c r="Q79" s="98">
        <f>IF(Q78=0,0,INT(Q77/Q78))</f>
        <v>18661</v>
      </c>
      <c r="R79" s="40" t="s">
        <v>66</v>
      </c>
    </row>
    <row r="80" spans="2:24" ht="120" hidden="1">
      <c r="J80" s="17"/>
      <c r="N80" s="22" t="s">
        <v>494</v>
      </c>
      <c r="O80" s="29" t="s">
        <v>493</v>
      </c>
      <c r="P80" s="23" t="s">
        <v>522</v>
      </c>
      <c r="Q80" s="98">
        <f>IF(Q78=0,0,Q77-Q78*Q79)</f>
        <v>1185</v>
      </c>
      <c r="R80" s="40" t="s">
        <v>441</v>
      </c>
    </row>
    <row r="81" spans="14:18" ht="45" hidden="1">
      <c r="N81" s="22" t="s">
        <v>523</v>
      </c>
      <c r="O81" s="29" t="s">
        <v>524</v>
      </c>
      <c r="P81" s="23" t="s">
        <v>525</v>
      </c>
      <c r="Q81" s="45">
        <f>IF(Q80=0,0,1)</f>
        <v>1</v>
      </c>
      <c r="R81" s="40" t="s">
        <v>66</v>
      </c>
    </row>
    <row r="82" spans="14:18" ht="135" hidden="1">
      <c r="N82" s="55" t="s">
        <v>526</v>
      </c>
      <c r="O82" s="56" t="s">
        <v>527</v>
      </c>
      <c r="P82" s="56" t="s">
        <v>528</v>
      </c>
      <c r="Q82" s="99">
        <f>Q79*(Q78+Q71+Q70)+Q81*(Q80+Q71+Q70)</f>
        <v>38293569</v>
      </c>
      <c r="R82" s="100" t="s">
        <v>441</v>
      </c>
    </row>
    <row r="83" spans="14:18" ht="75" hidden="1">
      <c r="N83" s="30" t="s">
        <v>529</v>
      </c>
      <c r="O83" s="29" t="s">
        <v>530</v>
      </c>
      <c r="P83" s="29" t="s">
        <v>531</v>
      </c>
      <c r="Q83" s="101">
        <f>(Q81+Q79)*E75</f>
        <v>0</v>
      </c>
      <c r="R83" s="40" t="s">
        <v>441</v>
      </c>
    </row>
    <row r="84" spans="14:18" ht="60" hidden="1">
      <c r="N84" s="30" t="s">
        <v>532</v>
      </c>
      <c r="O84" s="29" t="s">
        <v>533</v>
      </c>
      <c r="P84" s="29" t="s">
        <v>534</v>
      </c>
      <c r="Q84" s="42">
        <f>Q82+Q83</f>
        <v>38293569</v>
      </c>
      <c r="R84" s="40" t="s">
        <v>441</v>
      </c>
    </row>
    <row r="85" spans="14:18" ht="75" hidden="1">
      <c r="N85" s="30" t="s">
        <v>535</v>
      </c>
      <c r="O85" s="29" t="s">
        <v>536</v>
      </c>
      <c r="P85" s="29" t="s">
        <v>537</v>
      </c>
      <c r="Q85" s="102">
        <f>1*100/95</f>
        <v>1.0526315789473684</v>
      </c>
      <c r="R85" s="46" t="s">
        <v>513</v>
      </c>
    </row>
    <row r="86" spans="14:18" ht="135" hidden="1">
      <c r="N86" s="30" t="s">
        <v>538</v>
      </c>
      <c r="O86" s="29" t="s">
        <v>539</v>
      </c>
      <c r="P86" s="29" t="s">
        <v>540</v>
      </c>
      <c r="Q86" s="42">
        <f>INT(E61*1000000000*8*E60*(100-E76-Q85)/80/10)</f>
        <v>48973684210</v>
      </c>
      <c r="R86" s="32" t="s">
        <v>541</v>
      </c>
    </row>
    <row r="87" spans="14:18" ht="120" hidden="1">
      <c r="N87" s="85" t="s">
        <v>542</v>
      </c>
      <c r="O87" s="28" t="s">
        <v>543</v>
      </c>
      <c r="P87" s="28" t="s">
        <v>544</v>
      </c>
      <c r="Q87" s="103">
        <f>ROUNDUP(1000000*Q82*4*100/(E64*(100-Q85)),0)</f>
        <v>30961</v>
      </c>
      <c r="R87" s="67" t="s">
        <v>64</v>
      </c>
    </row>
    <row r="88" spans="14:18" ht="75" hidden="1">
      <c r="N88" s="86" t="s">
        <v>545</v>
      </c>
      <c r="O88" s="49" t="s">
        <v>546</v>
      </c>
      <c r="P88" s="49" t="s">
        <v>547</v>
      </c>
      <c r="Q88" s="50">
        <f>ROUNDUP(4*Q84*1000000/Q86,0)*10</f>
        <v>31280</v>
      </c>
      <c r="R88" s="104" t="s">
        <v>64</v>
      </c>
    </row>
    <row r="89" spans="14:18" hidden="1"/>
    <row r="90" spans="14:18" hidden="1"/>
    <row r="111" spans="8:10">
      <c r="H111" s="83"/>
      <c r="I111" s="338"/>
      <c r="J111" s="338"/>
    </row>
    <row r="112" spans="8:10">
      <c r="H112" s="83"/>
      <c r="I112" s="83"/>
      <c r="J112" s="83"/>
    </row>
    <row r="113" spans="2:10">
      <c r="H113" s="83"/>
      <c r="I113" s="83"/>
      <c r="J113" s="83"/>
    </row>
    <row r="114" spans="2:10">
      <c r="H114" s="83"/>
      <c r="I114" s="83"/>
      <c r="J114" s="83"/>
    </row>
    <row r="115" spans="2:10">
      <c r="H115" s="83"/>
      <c r="I115" s="83"/>
      <c r="J115" s="83"/>
    </row>
    <row r="116" spans="2:10">
      <c r="H116" s="83"/>
      <c r="I116" s="338"/>
      <c r="J116" s="338"/>
    </row>
    <row r="117" spans="2:10">
      <c r="G117" s="84"/>
      <c r="H117" s="83"/>
      <c r="I117" s="83"/>
      <c r="J117" s="83"/>
    </row>
    <row r="118" spans="2:10">
      <c r="B118" s="83"/>
      <c r="C118" s="83"/>
      <c r="D118" s="83"/>
      <c r="E118" s="83"/>
      <c r="G118" s="83"/>
      <c r="H118" s="83"/>
      <c r="I118" s="83"/>
      <c r="J118" s="83"/>
    </row>
    <row r="119" spans="2:10">
      <c r="B119" s="83"/>
      <c r="C119" s="83"/>
      <c r="D119" s="83"/>
      <c r="E119" s="83"/>
      <c r="G119" s="83"/>
      <c r="H119" s="83"/>
      <c r="I119" s="83"/>
      <c r="J119" s="83"/>
    </row>
    <row r="120" spans="2:10">
      <c r="B120" s="83"/>
      <c r="C120" s="83"/>
      <c r="D120" s="83"/>
      <c r="E120" s="83"/>
      <c r="G120" s="83"/>
      <c r="H120" s="83"/>
      <c r="I120" s="83"/>
      <c r="J120" s="83"/>
    </row>
    <row r="121" spans="2:10">
      <c r="B121" s="83"/>
      <c r="C121" s="83"/>
      <c r="D121" s="83"/>
      <c r="E121" s="83"/>
      <c r="F121" s="84"/>
      <c r="G121" s="83"/>
      <c r="H121" s="83"/>
      <c r="I121" s="338"/>
      <c r="J121" s="338"/>
    </row>
    <row r="122" spans="2:10">
      <c r="B122" s="83"/>
      <c r="C122" s="83"/>
      <c r="D122" s="83"/>
      <c r="E122" s="83"/>
      <c r="F122" s="83"/>
      <c r="G122" s="83"/>
      <c r="H122" s="83"/>
      <c r="I122" s="83"/>
      <c r="J122" s="83"/>
    </row>
    <row r="123" spans="2:10">
      <c r="B123" s="83"/>
      <c r="C123" s="83"/>
      <c r="D123" s="83"/>
      <c r="E123" s="83"/>
      <c r="F123" s="83"/>
      <c r="G123" s="83"/>
      <c r="H123" s="83"/>
      <c r="I123" s="83"/>
      <c r="J123" s="83"/>
    </row>
    <row r="124" spans="2:10">
      <c r="B124" s="83"/>
      <c r="C124" s="83"/>
      <c r="D124" s="83"/>
      <c r="E124" s="83"/>
      <c r="F124" s="83"/>
      <c r="G124" s="83"/>
      <c r="H124" s="83"/>
      <c r="I124" s="83"/>
      <c r="J124" s="83"/>
    </row>
    <row r="125" spans="2:10">
      <c r="B125" s="84"/>
      <c r="C125" s="84"/>
      <c r="D125" s="83"/>
      <c r="E125" s="83"/>
      <c r="F125" s="83"/>
      <c r="G125" s="83"/>
      <c r="H125" s="83"/>
      <c r="I125" s="83"/>
      <c r="J125" s="83"/>
    </row>
    <row r="126" spans="2:10">
      <c r="B126" s="83"/>
      <c r="C126" s="84"/>
      <c r="D126" s="83"/>
      <c r="E126" s="83"/>
      <c r="F126" s="83"/>
      <c r="G126" s="83"/>
      <c r="H126" s="83"/>
      <c r="I126" s="83"/>
      <c r="J126" s="83"/>
    </row>
    <row r="127" spans="2:10">
      <c r="B127" s="83"/>
      <c r="C127" s="84"/>
      <c r="D127" s="83"/>
      <c r="E127" s="83"/>
      <c r="F127" s="83"/>
      <c r="G127" s="83"/>
      <c r="H127" s="83"/>
      <c r="I127" s="83"/>
      <c r="J127" s="83"/>
    </row>
    <row r="128" spans="2:10">
      <c r="B128" s="83"/>
      <c r="C128" s="83"/>
      <c r="D128" s="83"/>
      <c r="E128" s="83"/>
      <c r="F128" s="83"/>
      <c r="G128" s="83"/>
      <c r="H128" s="83"/>
      <c r="I128" s="83"/>
      <c r="J128" s="83"/>
    </row>
    <row r="129" spans="2:10">
      <c r="B129" s="83"/>
      <c r="C129" s="83"/>
      <c r="D129" s="83"/>
      <c r="E129" s="83"/>
      <c r="F129" s="83"/>
      <c r="G129" s="83"/>
      <c r="H129" s="83"/>
      <c r="I129" s="83"/>
      <c r="J129" s="83"/>
    </row>
    <row r="130" spans="2:10">
      <c r="B130" s="83"/>
      <c r="C130" s="83"/>
      <c r="D130" s="83"/>
      <c r="E130" s="83"/>
      <c r="F130" s="83"/>
      <c r="G130" s="83"/>
      <c r="H130" s="83"/>
      <c r="I130" s="83"/>
      <c r="J130" s="83"/>
    </row>
    <row r="131" spans="2:10">
      <c r="B131" s="83"/>
      <c r="C131" s="83"/>
      <c r="D131" s="83"/>
      <c r="E131" s="83"/>
      <c r="F131" s="83"/>
      <c r="G131" s="83"/>
      <c r="H131" s="83"/>
      <c r="I131" s="83"/>
      <c r="J131" s="83"/>
    </row>
    <row r="132" spans="2:10">
      <c r="B132" s="83"/>
      <c r="C132" s="83"/>
      <c r="D132" s="83"/>
      <c r="E132" s="83"/>
      <c r="F132" s="83"/>
      <c r="G132" s="83"/>
      <c r="H132" s="83"/>
      <c r="I132" s="83"/>
      <c r="J132" s="83"/>
    </row>
    <row r="133" spans="2:10">
      <c r="B133" s="83"/>
      <c r="C133" s="83"/>
      <c r="D133" s="83"/>
      <c r="E133" s="83"/>
      <c r="F133" s="83"/>
      <c r="G133" s="83"/>
      <c r="H133" s="83"/>
      <c r="I133" s="83"/>
      <c r="J133" s="83"/>
    </row>
    <row r="134" spans="2:10">
      <c r="B134" s="83"/>
      <c r="C134" s="83"/>
      <c r="D134" s="83"/>
      <c r="E134" s="83"/>
      <c r="F134" s="83"/>
      <c r="G134" s="83"/>
      <c r="H134" s="83"/>
      <c r="I134" s="83"/>
      <c r="J134" s="83"/>
    </row>
    <row r="135" spans="2:10">
      <c r="B135" s="83"/>
      <c r="C135" s="83"/>
      <c r="D135" s="83"/>
      <c r="E135" s="83"/>
      <c r="F135" s="83"/>
      <c r="G135" s="83"/>
      <c r="H135" s="83"/>
      <c r="I135" s="83"/>
      <c r="J135" s="83"/>
    </row>
    <row r="136" spans="2:10">
      <c r="B136" s="83"/>
      <c r="C136" s="83"/>
      <c r="D136" s="83"/>
      <c r="E136" s="83"/>
      <c r="F136" s="83"/>
      <c r="G136" s="83"/>
    </row>
    <row r="137" spans="2:10">
      <c r="B137" s="83"/>
      <c r="C137" s="83"/>
      <c r="D137" s="83"/>
      <c r="E137" s="83"/>
      <c r="F137" s="83"/>
      <c r="G137" s="83"/>
    </row>
    <row r="138" spans="2:10">
      <c r="B138" s="83"/>
      <c r="C138" s="83"/>
      <c r="D138" s="83"/>
      <c r="E138" s="83"/>
      <c r="F138" s="83"/>
      <c r="G138" s="83"/>
    </row>
    <row r="139" spans="2:10">
      <c r="B139" s="83"/>
      <c r="C139" s="83"/>
      <c r="D139" s="83"/>
      <c r="E139" s="83"/>
      <c r="F139" s="83"/>
      <c r="G139" s="83"/>
    </row>
    <row r="140" spans="2:10">
      <c r="B140" s="83"/>
      <c r="C140" s="83"/>
      <c r="D140" s="83"/>
      <c r="E140" s="83"/>
      <c r="F140" s="83"/>
      <c r="G140" s="83"/>
    </row>
    <row r="141" spans="2:10">
      <c r="B141" s="83"/>
      <c r="C141" s="83"/>
      <c r="D141" s="83"/>
      <c r="E141" s="83"/>
      <c r="F141" s="83"/>
      <c r="G141" s="83"/>
    </row>
    <row r="142" spans="2:10">
      <c r="B142" s="83"/>
      <c r="C142" s="83"/>
      <c r="D142" s="83"/>
      <c r="E142" s="83"/>
      <c r="F142" s="83"/>
    </row>
    <row r="143" spans="2:10">
      <c r="F143" s="83"/>
    </row>
    <row r="144" spans="2:10">
      <c r="F144" s="83"/>
    </row>
    <row r="145" spans="6:6">
      <c r="F145" s="83"/>
    </row>
  </sheetData>
  <sheetProtection algorithmName="SHA-512" hashValue="61H/aSskJfkBLuuXP4ql+NRRWwNVkIx3DMUDU++a15ebOAK1huLdEUvTbN+SNf8QylA+cv4bgDjAj1aruNRLag==" saltValue="Mj3ud79fhumSelx1n0BVaQ==" spinCount="100000" sheet="1" objects="1" scenarios="1" formatCells="0" selectLockedCells="1"/>
  <mergeCells count="30">
    <mergeCell ref="I111:J111"/>
    <mergeCell ref="I116:J116"/>
    <mergeCell ref="I121:J121"/>
    <mergeCell ref="B71:F71"/>
    <mergeCell ref="N72:R72"/>
    <mergeCell ref="B74:F74"/>
    <mergeCell ref="B77:F77"/>
    <mergeCell ref="C78:D78"/>
    <mergeCell ref="E78:F78"/>
    <mergeCell ref="H60:L60"/>
    <mergeCell ref="N63:R63"/>
    <mergeCell ref="B65:F65"/>
    <mergeCell ref="T66:X66"/>
    <mergeCell ref="B68:F68"/>
    <mergeCell ref="B54:F54"/>
    <mergeCell ref="N55:R55"/>
    <mergeCell ref="T55:X55"/>
    <mergeCell ref="H57:L57"/>
    <mergeCell ref="B59:F59"/>
    <mergeCell ref="B43:F43"/>
    <mergeCell ref="B45:F45"/>
    <mergeCell ref="H46:L46"/>
    <mergeCell ref="B51:F51"/>
    <mergeCell ref="H52:L52"/>
    <mergeCell ref="H40:L40"/>
    <mergeCell ref="N40:R40"/>
    <mergeCell ref="T40:AU40"/>
    <mergeCell ref="B41:F41"/>
    <mergeCell ref="H41:L41"/>
    <mergeCell ref="N41:R41"/>
  </mergeCells>
  <phoneticPr fontId="12" type="noConversion"/>
  <dataValidations count="37">
    <dataValidation allowBlank="1" showErrorMessage="1" promptTitle="参数变化" prompt="该参数会根据当前生效的水平像素Binning、水平像素抽样变化" sqref="B2" xr:uid="{00000000-0002-0000-0200-000000000000}"/>
    <dataValidation type="whole" allowBlank="1" showInputMessage="1" showErrorMessage="1" errorTitle="设置值超出范围" error="预留带宽设置值超出范围" sqref="E76" xr:uid="{00000000-0002-0000-0200-000001000000}">
      <formula1>D76</formula1>
      <formula2>99</formula2>
    </dataValidation>
    <dataValidation type="whole" allowBlank="1" showInputMessage="1" showErrorMessage="1" errorTitle="超出范围" error="曝光时间的范围是14us-1s" sqref="E48" xr:uid="{00000000-0002-0000-0200-000002000000}">
      <formula1>14</formula1>
      <formula2>10000000</formula2>
    </dataValidation>
    <dataValidation type="list" allowBlank="1" showInputMessage="1" showErrorMessage="1" sqref="E46" xr:uid="{00000000-0002-0000-0200-000003000000}">
      <formula1>"Timed,TriggerWidth"</formula1>
    </dataValidation>
    <dataValidation allowBlank="1" showInputMessage="1" showErrorMessage="1" error="输入范围是64~1024，步长为2" sqref="A1:B1" xr:uid="{00000000-0002-0000-0200-000004000000}"/>
    <dataValidation type="custom" allowBlank="1" showInputMessage="1" showErrorMessage="1" errorTitle="Input parameter error" error="Input range from 100000000 to 5000000000, step 10000000." sqref="B20" xr:uid="{00000000-0002-0000-0200-000005000000}">
      <formula1>AND((B20&lt;=5000000000),(B20&gt;=100000000),(MOD(B20,10000000)=0))</formula1>
    </dataValidation>
    <dataValidation allowBlank="1" showErrorMessage="1" promptTitle="参数变化" prompt="该参数会根据当前生效的垂直像素Binning、垂直像素抽样变化" sqref="B3" xr:uid="{00000000-0002-0000-0200-000006000000}"/>
    <dataValidation type="whole" allowBlank="1" showInputMessage="1" showErrorMessage="1" errorTitle="Input parameter error" error="Input range from 20 to 1000000." sqref="B10" xr:uid="{00000000-0002-0000-0200-000007000000}">
      <formula1>20</formula1>
      <formula2>1000000</formula2>
    </dataValidation>
    <dataValidation type="whole" allowBlank="1" showInputMessage="1" showErrorMessage="1" errorTitle="流包包长设置错误" error="流包包长范围512-16384bytes" sqref="E62" xr:uid="{00000000-0002-0000-0200-000008000000}">
      <formula1>512</formula1>
      <formula2>16384</formula2>
    </dataValidation>
    <dataValidation type="custom" allowBlank="1" showInputMessage="1" showErrorMessage="1" errorTitle="Input parameter error" error="Input range from 32 to WidthMax, and is an integer multiple of 32." sqref="B4" xr:uid="{00000000-0002-0000-0200-000009000000}">
      <formula1>AND((B4&lt;=B2),(B4&gt;=32),(MOD(B4,32)=0))</formula1>
    </dataValidation>
    <dataValidation type="custom" allowBlank="1" showInputMessage="1" showErrorMessage="1" errorTitle="Input parameter error" error="Input range from 2 to HeightMax, and is an integer multiple of 2." sqref="B5" xr:uid="{00000000-0002-0000-0200-00000A000000}">
      <formula1>AND((B5&lt;=B3),(B5&gt;=2),(MOD(B5,2)=0))</formula1>
    </dataValidation>
    <dataValidation type="list" allowBlank="1" showInputMessage="1" showErrorMessage="1" errorTitle="Input parameter error" error="Please input 1 or 2 or 4." sqref="B18" xr:uid="{00000000-0002-0000-0200-00000B000000}">
      <formula1>"1,2,4"</formula1>
    </dataValidation>
    <dataValidation type="list" allowBlank="1" showInputMessage="1" showErrorMessage="1" errorTitle="Input parameter error" error="Input range is 1 or 2 or 4." sqref="B6 B7 B8:B9" xr:uid="{00000000-0002-0000-0200-00000C000000}">
      <formula1>"1,2,4"</formula1>
    </dataValidation>
    <dataValidation type="whole" allowBlank="1" showInputMessage="1" showErrorMessage="1" errorTitle="输入数值非法" error="最小值4，最大值D12" sqref="E57" xr:uid="{00000000-0002-0000-0200-00000D000000}">
      <formula1>32</formula1>
      <formula2>D57</formula2>
    </dataValidation>
    <dataValidation type="whole" allowBlank="1" showInputMessage="1" showErrorMessage="1" errorTitle="Input parameter error" error="The input range: [0,5000]" sqref="B11" xr:uid="{00000000-0002-0000-0200-00000E000000}">
      <formula1>0</formula1>
      <formula2>5000</formula2>
    </dataValidation>
    <dataValidation type="list" allowBlank="1" showInputMessage="1" showErrorMessage="1" errorTitle="Input parameter error" error="Input 8 or 12." sqref="B12" xr:uid="{00000000-0002-0000-0200-00000F000000}">
      <formula1>"8,12"</formula1>
    </dataValidation>
    <dataValidation type="list" allowBlank="1" showInputMessage="1" showErrorMessage="1" errorTitle="Input parameter error" error="Please input 0 or 1." sqref="B16 B19" xr:uid="{00000000-0002-0000-0200-000010000000}">
      <formula1>"0,1"</formula1>
    </dataValidation>
    <dataValidation type="custom" allowBlank="1" showInputMessage="1" showErrorMessage="1" errorTitle="Input parameter error" error="Input range is 512~8192, step is 4." sqref="B13" xr:uid="{00000000-0002-0000-0200-000011000000}">
      <formula1>AND((B13&lt;=8192),(B13&gt;=512),(MOD(B13,4)=0))</formula1>
    </dataValidation>
    <dataValidation type="list" allowBlank="1" showInputMessage="1" showErrorMessage="1" sqref="D40" xr:uid="{00000000-0002-0000-0200-000012000000}">
      <formula1>$T$42:$T$46</formula1>
    </dataValidation>
    <dataValidation type="list" allowBlank="1" showInputMessage="1" showErrorMessage="1" errorTitle="Input parameter error" error="Input range is 0 or 1." sqref="B14" xr:uid="{00000000-0002-0000-0200-000013000000}">
      <formula1>"0,1"</formula1>
    </dataValidation>
    <dataValidation type="custom" allowBlank="1" showInputMessage="1" showErrorMessage="1" errorTitle="Input parameter error" error="Input range from 0.1 to 10000, step 0.1." sqref="B15" xr:uid="{00000000-0002-0000-0200-000014000000}">
      <formula1>AND(TRUNC(B15,1)=B15,(B15&gt;=0.1),(B15&lt;=10000))</formula1>
    </dataValidation>
    <dataValidation type="list" allowBlank="1" showInputMessage="1" showErrorMessage="1" errorTitle="Input parameter error" error="Please input 6.25 or 12.5." sqref="B17" xr:uid="{00000000-0002-0000-0200-000015000000}">
      <formula1>"6.25,12.5"</formula1>
    </dataValidation>
    <dataValidation type="list" allowBlank="1" showInputMessage="1" showErrorMessage="1" sqref="E44" xr:uid="{00000000-0002-0000-0200-000016000000}">
      <formula1>"8,10,12"</formula1>
    </dataValidation>
    <dataValidation type="whole" allowBlank="1" showInputMessage="1" showErrorMessage="1" errorTitle="设置值超出范围" error="包间隔设置值超出范围" sqref="E75" xr:uid="{00000000-0002-0000-0200-000017000000}">
      <formula1>0</formula1>
      <formula2>K73</formula2>
    </dataValidation>
    <dataValidation type="whole" allowBlank="1" showInputMessage="1" showErrorMessage="1" sqref="E47" xr:uid="{00000000-0002-0000-0200-000018000000}">
      <formula1>0</formula1>
      <formula2>D47</formula2>
    </dataValidation>
    <dataValidation type="whole" allowBlank="1" showInputMessage="1" showErrorMessage="1" errorTitle="超出范围" error="曝光延迟的范围是0-5000us" sqref="E49" xr:uid="{00000000-0002-0000-0200-000019000000}">
      <formula1>0</formula1>
      <formula2>5000</formula2>
    </dataValidation>
    <dataValidation type="whole" allowBlank="1" showInputMessage="1" showErrorMessage="1" errorTitle="超出范围" error="触发信号宽度的范围是1-1000000us" sqref="E50" xr:uid="{00000000-0002-0000-0200-00001A000000}">
      <formula1>1</formula1>
      <formula2>1000000</formula2>
    </dataValidation>
    <dataValidation type="whole" allowBlank="1" showInputMessage="1" showErrorMessage="1" errorTitle="超出范围" error="触发延时的范围是0-3000000us" sqref="E53" xr:uid="{00000000-0002-0000-0200-00001B000000}">
      <formula1>0</formula1>
      <formula2>3000000</formula2>
    </dataValidation>
    <dataValidation type="list" allowBlank="1" showInputMessage="1" showErrorMessage="1" sqref="E52" xr:uid="{00000000-0002-0000-0200-00001C000000}">
      <formula1>"0,1"</formula1>
    </dataValidation>
    <dataValidation type="whole" allowBlank="1" showInputMessage="1" showErrorMessage="1" errorTitle="输入数值非法" error="最小值2，最大值D13" sqref="E58" xr:uid="{00000000-0002-0000-0200-00001D000000}">
      <formula1>2</formula1>
      <formula2>D58</formula2>
    </dataValidation>
    <dataValidation type="list" allowBlank="1" showInputMessage="1" showErrorMessage="1" sqref="E60" xr:uid="{00000000-0002-0000-0200-00001E000000}">
      <formula1>"12.5,6.25"</formula1>
    </dataValidation>
    <dataValidation type="list" allowBlank="1" showInputMessage="1" showErrorMessage="1" sqref="E61" xr:uid="{00000000-0002-0000-0200-00001F000000}">
      <formula1>"1,2,4"</formula1>
    </dataValidation>
    <dataValidation type="list" allowBlank="1" showInputMessage="1" showErrorMessage="1" errorTitle="超出范围" error="0:关闭_x000a_1:打开" sqref="E63 E66" xr:uid="{00000000-0002-0000-0200-000020000000}">
      <formula1>"0,1"</formula1>
    </dataValidation>
    <dataValidation type="custom" allowBlank="1" showInputMessage="1" showErrorMessage="1" errorTitle="带宽限制值设置错误" error="带宽限制值需要以100000000为步长，最小值100000000" sqref="E64" xr:uid="{00000000-0002-0000-0200-000021000000}">
      <formula1>AND(E64&lt;=D64,E64&gt;=100000000,MOD(E64,10000000)=0)</formula1>
    </dataValidation>
    <dataValidation type="decimal" allowBlank="1" showInputMessage="1" showErrorMessage="1" sqref="E67" xr:uid="{00000000-0002-0000-0200-000022000000}">
      <formula1>0.1</formula1>
      <formula2>10000</formula2>
    </dataValidation>
    <dataValidation type="list" allowBlank="1" showErrorMessage="1" error="只支持1x 2x 4x水平Binning/Skipping，且需要同步修改水平ROI" sqref="E69 E72" xr:uid="{00000000-0002-0000-0200-000023000000}">
      <formula1>"1,2,4"</formula1>
    </dataValidation>
    <dataValidation type="list" allowBlank="1" showErrorMessage="1" error="只支持1x 2x 4x垂直Binning/Skipping，且需要同步修改垂直ROI" sqref="E70 E73" xr:uid="{00000000-0002-0000-0200-000024000000}">
      <formula1>"1,2,4"</formula1>
    </dataValidation>
  </dataValidations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U145"/>
  <sheetViews>
    <sheetView workbookViewId="0">
      <selection activeCell="B4" sqref="B4"/>
    </sheetView>
  </sheetViews>
  <sheetFormatPr defaultColWidth="9" defaultRowHeight="15"/>
  <cols>
    <col min="1" max="1" width="25.42578125" customWidth="1"/>
    <col min="2" max="2" width="16.42578125" customWidth="1"/>
    <col min="3" max="3" width="11.7109375" customWidth="1"/>
    <col min="4" max="4" width="14.85546875" customWidth="1"/>
    <col min="5" max="5" width="11.5703125" customWidth="1"/>
    <col min="6" max="6" width="6.7109375" customWidth="1"/>
    <col min="7" max="7" width="4.42578125" customWidth="1"/>
    <col min="8" max="8" width="17.7109375" customWidth="1"/>
    <col min="9" max="9" width="15.7109375" customWidth="1"/>
    <col min="10" max="10" width="57.42578125" customWidth="1"/>
    <col min="11" max="11" width="18.28515625" customWidth="1"/>
    <col min="12" max="13" width="4.42578125" customWidth="1"/>
    <col min="14" max="14" width="19.28515625" customWidth="1"/>
    <col min="15" max="15" width="16" customWidth="1"/>
    <col min="16" max="16" width="43.42578125" customWidth="1"/>
    <col min="17" max="17" width="14.85546875" customWidth="1"/>
    <col min="18" max="18" width="6.42578125" customWidth="1"/>
    <col min="19" max="19" width="4.85546875" customWidth="1"/>
    <col min="20" max="20" width="26.42578125" customWidth="1"/>
    <col min="21" max="21" width="13.140625" customWidth="1"/>
    <col min="22" max="22" width="20.5703125" customWidth="1"/>
    <col min="23" max="23" width="21.42578125" customWidth="1"/>
    <col min="24" max="24" width="14.140625" customWidth="1"/>
    <col min="25" max="25" width="12.5703125" customWidth="1"/>
    <col min="26" max="26" width="12" customWidth="1"/>
    <col min="27" max="27" width="14" customWidth="1"/>
    <col min="28" max="28" width="17" customWidth="1"/>
    <col min="29" max="29" width="20.42578125" customWidth="1"/>
    <col min="30" max="30" width="21" customWidth="1"/>
    <col min="31" max="31" width="20.28515625" customWidth="1"/>
    <col min="32" max="32" width="22.5703125" customWidth="1"/>
    <col min="33" max="33" width="24.140625" customWidth="1"/>
    <col min="34" max="34" width="11.5703125" customWidth="1"/>
    <col min="35" max="35" width="12.85546875" customWidth="1"/>
    <col min="36" max="36" width="20.5703125" customWidth="1"/>
    <col min="37" max="37" width="17" customWidth="1"/>
    <col min="38" max="38" width="12.85546875" customWidth="1"/>
    <col min="39" max="41" width="21.5703125" customWidth="1"/>
    <col min="42" max="42" width="19.42578125" customWidth="1"/>
    <col min="43" max="45" width="20.28515625" customWidth="1"/>
  </cols>
  <sheetData>
    <row r="1" spans="1:2">
      <c r="A1" s="4"/>
      <c r="B1" s="4"/>
    </row>
    <row r="2" spans="1:2">
      <c r="A2" s="5" t="s">
        <v>236</v>
      </c>
      <c r="B2" s="6">
        <f>ROUNDDOWN(D57/B8/B6/32,0)*32</f>
        <v>11264</v>
      </c>
    </row>
    <row r="3" spans="1:2">
      <c r="A3" s="5" t="s">
        <v>237</v>
      </c>
      <c r="B3" s="6">
        <f>ROUNDDOWN(D58/B9/B7/2,0)*2</f>
        <v>9200</v>
      </c>
    </row>
    <row r="4" spans="1:2">
      <c r="A4" s="4" t="s">
        <v>238</v>
      </c>
      <c r="B4" s="7">
        <v>11264</v>
      </c>
    </row>
    <row r="5" spans="1:2">
      <c r="A5" s="4" t="s">
        <v>239</v>
      </c>
      <c r="B5" s="7">
        <v>9200</v>
      </c>
    </row>
    <row r="6" spans="1:2">
      <c r="A6" s="4" t="s">
        <v>548</v>
      </c>
      <c r="B6" s="7">
        <v>1</v>
      </c>
    </row>
    <row r="7" spans="1:2">
      <c r="A7" s="4" t="s">
        <v>549</v>
      </c>
      <c r="B7" s="7">
        <v>1</v>
      </c>
    </row>
    <row r="8" spans="1:2">
      <c r="A8" s="5" t="s">
        <v>242</v>
      </c>
      <c r="B8" s="8">
        <v>1</v>
      </c>
    </row>
    <row r="9" spans="1:2">
      <c r="A9" s="5" t="s">
        <v>243</v>
      </c>
      <c r="B9" s="8">
        <v>1</v>
      </c>
    </row>
    <row r="10" spans="1:2">
      <c r="A10" s="4" t="s">
        <v>244</v>
      </c>
      <c r="B10" s="7">
        <v>40000</v>
      </c>
    </row>
    <row r="11" spans="1:2">
      <c r="A11" s="9" t="s">
        <v>245</v>
      </c>
      <c r="B11" s="10">
        <v>0</v>
      </c>
    </row>
    <row r="12" spans="1:2">
      <c r="A12" s="4" t="s">
        <v>246</v>
      </c>
      <c r="B12" s="7">
        <v>8</v>
      </c>
    </row>
    <row r="13" spans="1:2">
      <c r="A13" s="4" t="s">
        <v>247</v>
      </c>
      <c r="B13" s="7">
        <v>8192</v>
      </c>
    </row>
    <row r="14" spans="1:2">
      <c r="A14" s="4" t="s">
        <v>248</v>
      </c>
      <c r="B14" s="7">
        <v>0</v>
      </c>
    </row>
    <row r="15" spans="1:2">
      <c r="A15" s="4" t="s">
        <v>249</v>
      </c>
      <c r="B15" s="7">
        <v>24</v>
      </c>
    </row>
    <row r="16" spans="1:2">
      <c r="A16" s="4" t="s">
        <v>250</v>
      </c>
      <c r="B16" s="7">
        <v>0</v>
      </c>
    </row>
    <row r="17" spans="1:2">
      <c r="A17" s="4" t="s">
        <v>251</v>
      </c>
      <c r="B17" s="7">
        <v>12.5</v>
      </c>
    </row>
    <row r="18" spans="1:2">
      <c r="A18" s="4" t="s">
        <v>252</v>
      </c>
      <c r="B18" s="7">
        <v>4</v>
      </c>
    </row>
    <row r="19" spans="1:2" ht="30">
      <c r="A19" s="4" t="s">
        <v>253</v>
      </c>
      <c r="B19" s="7">
        <v>0</v>
      </c>
    </row>
    <row r="20" spans="1:2" ht="30">
      <c r="A20" s="4" t="s">
        <v>254</v>
      </c>
      <c r="B20" s="7">
        <v>5000000000</v>
      </c>
    </row>
    <row r="21" spans="1:2">
      <c r="A21" s="4"/>
      <c r="B21" s="11"/>
    </row>
    <row r="22" spans="1:2" ht="15.75">
      <c r="A22" s="12"/>
      <c r="B22" s="13"/>
    </row>
    <row r="23" spans="1:2" ht="15.75">
      <c r="A23" s="12" t="s">
        <v>255</v>
      </c>
      <c r="B23" s="14">
        <f>K45</f>
        <v>24.333860566978952</v>
      </c>
    </row>
    <row r="40" spans="2:47" ht="27.75" hidden="1" customHeight="1">
      <c r="B40" s="15" t="s">
        <v>0</v>
      </c>
      <c r="C40" s="15" t="s">
        <v>1</v>
      </c>
      <c r="D40" s="16" t="s">
        <v>550</v>
      </c>
      <c r="E40" s="17"/>
      <c r="F40" s="17"/>
      <c r="G40" s="17"/>
      <c r="H40" s="314" t="s">
        <v>3</v>
      </c>
      <c r="I40" s="315"/>
      <c r="J40" s="315"/>
      <c r="K40" s="315"/>
      <c r="L40" s="316"/>
      <c r="M40" s="36"/>
      <c r="N40" s="314" t="s">
        <v>4</v>
      </c>
      <c r="O40" s="315"/>
      <c r="P40" s="315"/>
      <c r="Q40" s="315"/>
      <c r="R40" s="316"/>
      <c r="S40" s="36"/>
      <c r="T40" s="339" t="s">
        <v>5</v>
      </c>
      <c r="U40" s="340"/>
      <c r="V40" s="340"/>
      <c r="W40" s="340"/>
      <c r="X40" s="340"/>
      <c r="Y40" s="340"/>
      <c r="Z40" s="340"/>
      <c r="AA40" s="340"/>
      <c r="AB40" s="340"/>
      <c r="AC40" s="340"/>
      <c r="AD40" s="340"/>
      <c r="AE40" s="340"/>
      <c r="AF40" s="340"/>
      <c r="AG40" s="340"/>
      <c r="AH40" s="340"/>
      <c r="AI40" s="340"/>
      <c r="AJ40" s="340"/>
      <c r="AK40" s="340"/>
      <c r="AL40" s="340"/>
      <c r="AM40" s="340"/>
      <c r="AN40" s="340"/>
      <c r="AO40" s="340"/>
      <c r="AP40" s="340"/>
      <c r="AQ40" s="340"/>
      <c r="AR40" s="340"/>
      <c r="AS40" s="340"/>
      <c r="AT40" s="340"/>
      <c r="AU40" s="341"/>
    </row>
    <row r="41" spans="2:47" ht="45" hidden="1">
      <c r="B41" s="314" t="s">
        <v>264</v>
      </c>
      <c r="C41" s="315"/>
      <c r="D41" s="315"/>
      <c r="E41" s="315"/>
      <c r="F41" s="316"/>
      <c r="G41" s="17"/>
      <c r="H41" s="322" t="s">
        <v>7</v>
      </c>
      <c r="I41" s="323"/>
      <c r="J41" s="323"/>
      <c r="K41" s="323"/>
      <c r="L41" s="324"/>
      <c r="M41" s="36"/>
      <c r="N41" s="322" t="s">
        <v>265</v>
      </c>
      <c r="O41" s="323"/>
      <c r="P41" s="323"/>
      <c r="Q41" s="323"/>
      <c r="R41" s="324"/>
      <c r="S41" s="36"/>
      <c r="T41" s="52" t="s">
        <v>9</v>
      </c>
      <c r="U41" s="53" t="s">
        <v>10</v>
      </c>
      <c r="V41" s="53" t="s">
        <v>11</v>
      </c>
      <c r="W41" s="53" t="s">
        <v>266</v>
      </c>
      <c r="X41" s="53" t="s">
        <v>267</v>
      </c>
      <c r="Y41" s="53" t="s">
        <v>268</v>
      </c>
      <c r="Z41" s="53" t="s">
        <v>269</v>
      </c>
      <c r="AA41" s="53" t="s">
        <v>270</v>
      </c>
      <c r="AB41" s="53" t="s">
        <v>271</v>
      </c>
      <c r="AC41" s="53" t="s">
        <v>272</v>
      </c>
      <c r="AD41" s="53" t="s">
        <v>273</v>
      </c>
      <c r="AE41" s="53" t="s">
        <v>274</v>
      </c>
      <c r="AF41" s="53" t="s">
        <v>275</v>
      </c>
      <c r="AG41" s="53" t="s">
        <v>276</v>
      </c>
      <c r="AH41" s="53" t="s">
        <v>277</v>
      </c>
      <c r="AI41" s="53" t="s">
        <v>278</v>
      </c>
      <c r="AJ41" s="53" t="s">
        <v>279</v>
      </c>
      <c r="AK41" s="53" t="s">
        <v>280</v>
      </c>
      <c r="AL41" s="53" t="s">
        <v>281</v>
      </c>
      <c r="AM41" s="53" t="s">
        <v>282</v>
      </c>
      <c r="AN41" s="53" t="s">
        <v>283</v>
      </c>
      <c r="AO41" s="53" t="s">
        <v>284</v>
      </c>
      <c r="AP41" s="53" t="s">
        <v>285</v>
      </c>
      <c r="AQ41" s="53" t="s">
        <v>286</v>
      </c>
      <c r="AR41" s="53" t="s">
        <v>287</v>
      </c>
      <c r="AS41" s="53" t="s">
        <v>288</v>
      </c>
      <c r="AT41" s="53" t="s">
        <v>289</v>
      </c>
      <c r="AU41" s="74" t="s">
        <v>290</v>
      </c>
    </row>
    <row r="42" spans="2:47" ht="30" hidden="1">
      <c r="B42" s="18" t="s">
        <v>40</v>
      </c>
      <c r="C42" s="19" t="s">
        <v>41</v>
      </c>
      <c r="D42" s="19" t="s">
        <v>42</v>
      </c>
      <c r="E42" s="19" t="s">
        <v>43</v>
      </c>
      <c r="F42" s="20" t="s">
        <v>46</v>
      </c>
      <c r="G42" s="17"/>
      <c r="H42" s="21" t="s">
        <v>40</v>
      </c>
      <c r="I42" s="37" t="s">
        <v>41</v>
      </c>
      <c r="J42" s="37" t="s">
        <v>44</v>
      </c>
      <c r="K42" s="37" t="s">
        <v>45</v>
      </c>
      <c r="L42" s="38" t="s">
        <v>46</v>
      </c>
      <c r="M42" s="36"/>
      <c r="N42" s="18" t="s">
        <v>40</v>
      </c>
      <c r="O42" s="19" t="s">
        <v>41</v>
      </c>
      <c r="P42" s="19" t="s">
        <v>44</v>
      </c>
      <c r="Q42" s="19" t="s">
        <v>47</v>
      </c>
      <c r="R42" s="54" t="s">
        <v>46</v>
      </c>
      <c r="S42" s="36"/>
      <c r="T42" s="55" t="s">
        <v>291</v>
      </c>
      <c r="U42" s="56" t="s">
        <v>48</v>
      </c>
      <c r="V42" s="56">
        <v>60</v>
      </c>
      <c r="W42" s="56">
        <v>96</v>
      </c>
      <c r="X42" s="57">
        <v>1</v>
      </c>
      <c r="Y42" s="57">
        <v>48</v>
      </c>
      <c r="Z42" s="57">
        <v>128</v>
      </c>
      <c r="AA42" s="57">
        <v>4</v>
      </c>
      <c r="AB42" s="56">
        <v>5376</v>
      </c>
      <c r="AC42" s="56">
        <v>1</v>
      </c>
      <c r="AD42" s="56">
        <v>5376</v>
      </c>
      <c r="AE42" s="56">
        <v>5184</v>
      </c>
      <c r="AF42" s="57">
        <f>ROUNDUP((7*$Q$44/$Q$43)*1000,0)+ROUNDUP(11*$Q$56,0)</f>
        <v>76500</v>
      </c>
      <c r="AG42" s="57">
        <f>ROUNDUP((7*$Q$60/$Q$43)*1000,0)+ROUNDUP(11*$Q$61,0)</f>
        <v>76500</v>
      </c>
      <c r="AH42" s="72">
        <v>124</v>
      </c>
      <c r="AI42" s="72">
        <v>1</v>
      </c>
      <c r="AJ42" s="72">
        <v>3</v>
      </c>
      <c r="AK42" s="72">
        <v>742</v>
      </c>
      <c r="AL42" s="72">
        <v>6</v>
      </c>
      <c r="AM42" s="72">
        <v>14</v>
      </c>
      <c r="AN42" s="56">
        <v>1</v>
      </c>
      <c r="AO42" s="56" t="s">
        <v>292</v>
      </c>
      <c r="AP42" s="56">
        <v>10000</v>
      </c>
      <c r="AQ42" s="72">
        <v>5120</v>
      </c>
      <c r="AR42" s="72">
        <v>5120</v>
      </c>
      <c r="AS42" s="72">
        <v>150</v>
      </c>
      <c r="AT42" s="56">
        <v>1</v>
      </c>
      <c r="AU42" s="75">
        <v>1</v>
      </c>
    </row>
    <row r="43" spans="2:47" ht="30" hidden="1">
      <c r="B43" s="322" t="s">
        <v>51</v>
      </c>
      <c r="C43" s="323"/>
      <c r="D43" s="323"/>
      <c r="E43" s="323"/>
      <c r="F43" s="324"/>
      <c r="G43" s="17"/>
      <c r="H43" s="22" t="s">
        <v>52</v>
      </c>
      <c r="I43" s="23" t="s">
        <v>53</v>
      </c>
      <c r="J43" s="29" t="s">
        <v>293</v>
      </c>
      <c r="K43" s="39">
        <f>Q61</f>
        <v>4250</v>
      </c>
      <c r="L43" s="40" t="s">
        <v>55</v>
      </c>
      <c r="M43" s="36"/>
      <c r="N43" s="22" t="s">
        <v>56</v>
      </c>
      <c r="O43" s="23" t="s">
        <v>57</v>
      </c>
      <c r="P43" s="23" t="s">
        <v>58</v>
      </c>
      <c r="Q43" s="45">
        <f>VLOOKUP($D$40,$T$42:$AU$49,4,FALSE)</f>
        <v>80</v>
      </c>
      <c r="R43" s="40" t="s">
        <v>59</v>
      </c>
      <c r="S43" s="36"/>
      <c r="T43" s="55" t="s">
        <v>263</v>
      </c>
      <c r="U43" s="56" t="s">
        <v>294</v>
      </c>
      <c r="V43" s="56">
        <v>60</v>
      </c>
      <c r="W43" s="56">
        <v>80</v>
      </c>
      <c r="X43" s="57">
        <v>3</v>
      </c>
      <c r="Y43" s="57">
        <v>38</v>
      </c>
      <c r="Z43" s="57">
        <v>82</v>
      </c>
      <c r="AA43" s="57">
        <v>4</v>
      </c>
      <c r="AB43" s="56">
        <v>16720</v>
      </c>
      <c r="AC43" s="56">
        <v>1</v>
      </c>
      <c r="AD43" s="56">
        <v>16720</v>
      </c>
      <c r="AE43" s="56">
        <v>9256</v>
      </c>
      <c r="AF43" s="57">
        <f>ROUNDUP((6*$Q$44/$Q$43)*1000,0)+ROUNDUP(201*$Q$56,0)</f>
        <v>879750</v>
      </c>
      <c r="AG43" s="57">
        <f>ROUNDUP((6*$Q$60/$Q$43)*1000,0)+ROUNDUP(201*$Q$61,0)</f>
        <v>879750</v>
      </c>
      <c r="AH43" s="72">
        <v>260</v>
      </c>
      <c r="AI43" s="72">
        <v>2</v>
      </c>
      <c r="AJ43" s="72">
        <v>3</v>
      </c>
      <c r="AK43" s="72">
        <v>1500</v>
      </c>
      <c r="AL43" s="72">
        <v>8</v>
      </c>
      <c r="AM43" s="72">
        <v>10</v>
      </c>
      <c r="AN43" s="56">
        <v>1</v>
      </c>
      <c r="AO43" s="56" t="s">
        <v>295</v>
      </c>
      <c r="AP43" s="56">
        <v>60000</v>
      </c>
      <c r="AQ43" s="72">
        <v>16544</v>
      </c>
      <c r="AR43" s="72">
        <v>9200</v>
      </c>
      <c r="AS43" s="72">
        <v>16</v>
      </c>
      <c r="AT43" s="56">
        <v>1</v>
      </c>
      <c r="AU43" s="75">
        <v>1</v>
      </c>
    </row>
    <row r="44" spans="2:47" ht="90" hidden="1">
      <c r="B44" s="22" t="s">
        <v>51</v>
      </c>
      <c r="C44" s="23" t="s">
        <v>60</v>
      </c>
      <c r="D44" s="23" t="str">
        <f>VLOOKUP($D$40,$T$42:$AU$49,22,FALSE)</f>
        <v>像素格式(8/12)</v>
      </c>
      <c r="E44" s="24">
        <f>B12</f>
        <v>8</v>
      </c>
      <c r="F44" s="25" t="s">
        <v>66</v>
      </c>
      <c r="G44" s="17"/>
      <c r="H44" s="22" t="s">
        <v>61</v>
      </c>
      <c r="I44" s="23" t="s">
        <v>62</v>
      </c>
      <c r="J44" s="29" t="s">
        <v>296</v>
      </c>
      <c r="K44" s="39">
        <f>IF(E52=1,IF(E46="TriggerWidth",MAX(K58,K49),MAX(K47,K48,K49)+K56),MAX(K47,K48,K49,K50)+K56)</f>
        <v>41095</v>
      </c>
      <c r="L44" s="40" t="s">
        <v>64</v>
      </c>
      <c r="N44" s="22" t="s">
        <v>297</v>
      </c>
      <c r="O44" s="23" t="s">
        <v>65</v>
      </c>
      <c r="P44" s="23" t="s">
        <v>58</v>
      </c>
      <c r="Q44" s="45">
        <f>VLOOKUP($D$40,$T$42:$AU$49,15,FALSE)</f>
        <v>340</v>
      </c>
      <c r="R44" s="40" t="s">
        <v>298</v>
      </c>
      <c r="T44" s="55" t="s">
        <v>299</v>
      </c>
      <c r="U44" s="56" t="s">
        <v>300</v>
      </c>
      <c r="V44" s="56">
        <v>50</v>
      </c>
      <c r="W44" s="56">
        <v>90</v>
      </c>
      <c r="X44" s="57">
        <v>1</v>
      </c>
      <c r="Y44" s="57">
        <v>56</v>
      </c>
      <c r="Z44" s="57">
        <v>88</v>
      </c>
      <c r="AA44" s="57">
        <v>4</v>
      </c>
      <c r="AB44" s="56">
        <v>9520</v>
      </c>
      <c r="AC44" s="56">
        <v>1</v>
      </c>
      <c r="AD44" s="56">
        <v>9520</v>
      </c>
      <c r="AE44" s="56">
        <v>7056</v>
      </c>
      <c r="AF44" s="57">
        <f>ROUNDUP((6*$Q$44/$Q$43)*1000,0)+ROUNDUP(11*$Q$56,0)</f>
        <v>72250</v>
      </c>
      <c r="AG44" s="57">
        <f>ROUNDUP((6*$Q$60/$Q$43)*1000,0)+ROUNDUP(11*$Q$61,0)</f>
        <v>72250</v>
      </c>
      <c r="AH44" s="72">
        <v>180</v>
      </c>
      <c r="AI44" s="72">
        <v>1</v>
      </c>
      <c r="AJ44" s="72">
        <v>3</v>
      </c>
      <c r="AK44" s="72">
        <v>1068</v>
      </c>
      <c r="AL44" s="72">
        <v>6</v>
      </c>
      <c r="AM44" s="72">
        <v>14</v>
      </c>
      <c r="AN44" s="56">
        <v>1</v>
      </c>
      <c r="AO44" s="56" t="s">
        <v>292</v>
      </c>
      <c r="AP44" s="56">
        <v>10000</v>
      </c>
      <c r="AQ44" s="72">
        <v>9344</v>
      </c>
      <c r="AR44" s="72">
        <v>7000</v>
      </c>
      <c r="AS44" s="72">
        <v>71</v>
      </c>
      <c r="AT44" s="56">
        <v>1</v>
      </c>
      <c r="AU44" s="75">
        <v>1</v>
      </c>
    </row>
    <row r="45" spans="2:47" ht="18.75" hidden="1" customHeight="1">
      <c r="B45" s="322" t="s">
        <v>67</v>
      </c>
      <c r="C45" s="323"/>
      <c r="D45" s="323"/>
      <c r="E45" s="323"/>
      <c r="F45" s="324"/>
      <c r="G45" s="17"/>
      <c r="H45" s="22" t="s">
        <v>68</v>
      </c>
      <c r="I45" s="23" t="s">
        <v>7</v>
      </c>
      <c r="J45" s="29" t="s">
        <v>69</v>
      </c>
      <c r="K45" s="41">
        <f>1000000/K44</f>
        <v>24.333860566978952</v>
      </c>
      <c r="L45" s="40" t="s">
        <v>70</v>
      </c>
      <c r="N45" s="22" t="s">
        <v>301</v>
      </c>
      <c r="O45" s="23" t="s">
        <v>302</v>
      </c>
      <c r="P45" s="23" t="s">
        <v>58</v>
      </c>
      <c r="Q45" s="45">
        <f>VLOOKUP($D$40,$T$42:$AU$49,13,FALSE)</f>
        <v>1096500</v>
      </c>
      <c r="R45" s="40" t="s">
        <v>55</v>
      </c>
      <c r="T45" s="58" t="s">
        <v>303</v>
      </c>
      <c r="U45" s="59" t="s">
        <v>300</v>
      </c>
      <c r="V45" s="59">
        <v>60</v>
      </c>
      <c r="W45" s="59">
        <v>80</v>
      </c>
      <c r="X45" s="59">
        <v>1</v>
      </c>
      <c r="Y45" s="59">
        <v>28</v>
      </c>
      <c r="Z45" s="68">
        <v>88</v>
      </c>
      <c r="AA45" s="59">
        <v>4</v>
      </c>
      <c r="AB45" s="69">
        <v>9520</v>
      </c>
      <c r="AC45" s="69">
        <v>1</v>
      </c>
      <c r="AD45" s="69">
        <v>9520</v>
      </c>
      <c r="AE45" s="69">
        <v>7056</v>
      </c>
      <c r="AF45" s="70">
        <f>ROUNDUP((6*$Q$44/$Q$43)*1000,0)+ROUNDUP(11*$Q$56,0)</f>
        <v>72250</v>
      </c>
      <c r="AG45" s="70">
        <f>ROUNDUP((6*$Q$60/$Q$43)*1000,0)+ROUNDUP(11*$Q$61,0)</f>
        <v>72250</v>
      </c>
      <c r="AH45" s="69">
        <v>180</v>
      </c>
      <c r="AI45" s="69">
        <v>2</v>
      </c>
      <c r="AJ45" s="69">
        <v>3</v>
      </c>
      <c r="AK45" s="69">
        <v>1068</v>
      </c>
      <c r="AL45" s="69">
        <v>6</v>
      </c>
      <c r="AM45" s="69">
        <v>14</v>
      </c>
      <c r="AN45" s="69">
        <v>1</v>
      </c>
      <c r="AO45" s="69" t="s">
        <v>295</v>
      </c>
      <c r="AP45" s="69">
        <v>30000</v>
      </c>
      <c r="AQ45" s="69">
        <v>9344</v>
      </c>
      <c r="AR45" s="69">
        <v>7000</v>
      </c>
      <c r="AS45" s="69">
        <v>31</v>
      </c>
      <c r="AT45" s="69">
        <v>1</v>
      </c>
      <c r="AU45" s="76">
        <v>1</v>
      </c>
    </row>
    <row r="46" spans="2:47" ht="30" hidden="1">
      <c r="B46" s="22" t="s">
        <v>304</v>
      </c>
      <c r="C46" s="23" t="s">
        <v>305</v>
      </c>
      <c r="D46" s="23" t="s">
        <v>306</v>
      </c>
      <c r="E46" s="24" t="s">
        <v>306</v>
      </c>
      <c r="F46" s="26" t="s">
        <v>66</v>
      </c>
      <c r="G46" s="17"/>
      <c r="H46" s="322" t="s">
        <v>74</v>
      </c>
      <c r="I46" s="323"/>
      <c r="J46" s="323"/>
      <c r="K46" s="323"/>
      <c r="L46" s="324"/>
      <c r="N46" s="22" t="s">
        <v>307</v>
      </c>
      <c r="O46" s="23" t="s">
        <v>308</v>
      </c>
      <c r="P46" s="23" t="s">
        <v>58</v>
      </c>
      <c r="Q46" s="45">
        <f>VLOOKUP($D$40,$T$42:$AU$49,14,FALSE)</f>
        <v>1096500</v>
      </c>
      <c r="R46" s="40" t="s">
        <v>55</v>
      </c>
      <c r="T46" s="60" t="s">
        <v>550</v>
      </c>
      <c r="U46" s="61" t="s">
        <v>551</v>
      </c>
      <c r="V46" s="61">
        <v>60</v>
      </c>
      <c r="W46" s="61">
        <v>80</v>
      </c>
      <c r="X46" s="62">
        <v>2</v>
      </c>
      <c r="Y46" s="62">
        <v>52</v>
      </c>
      <c r="Z46" s="62">
        <v>82</v>
      </c>
      <c r="AA46" s="62">
        <v>4</v>
      </c>
      <c r="AB46" s="61">
        <v>11440</v>
      </c>
      <c r="AC46" s="61">
        <v>1</v>
      </c>
      <c r="AD46" s="61">
        <v>11440</v>
      </c>
      <c r="AE46" s="61">
        <v>9256</v>
      </c>
      <c r="AF46" s="62">
        <f>ROUNDUP((6*$Q$44/$Q$43)*1000,0)+ROUNDUP(252*$Q$56,0)</f>
        <v>1096500</v>
      </c>
      <c r="AG46" s="62">
        <f>ROUNDUP((6*$Q$60/$Q$43)*1000,0)+ROUNDUP(252*$Q$61,0)</f>
        <v>1096500</v>
      </c>
      <c r="AH46" s="73">
        <v>340</v>
      </c>
      <c r="AI46" s="73">
        <v>1</v>
      </c>
      <c r="AJ46" s="73">
        <v>3</v>
      </c>
      <c r="AK46" s="73">
        <v>1500</v>
      </c>
      <c r="AL46" s="73">
        <v>8</v>
      </c>
      <c r="AM46" s="73">
        <v>10</v>
      </c>
      <c r="AN46" s="61">
        <v>1</v>
      </c>
      <c r="AO46" s="61" t="s">
        <v>295</v>
      </c>
      <c r="AP46" s="61">
        <v>40000</v>
      </c>
      <c r="AQ46" s="73">
        <v>11264</v>
      </c>
      <c r="AR46" s="73">
        <v>9200</v>
      </c>
      <c r="AS46" s="73">
        <v>24</v>
      </c>
      <c r="AT46" s="61">
        <v>1</v>
      </c>
      <c r="AU46" s="77">
        <v>1</v>
      </c>
    </row>
    <row r="47" spans="2:47" ht="45" hidden="1">
      <c r="B47" s="27" t="str">
        <f>"交叠曝光时间
(0-"&amp;ROUNDUP((E58*E73+Q48+Q52+Q54)*Q61/1000,0)&amp;")"</f>
        <v>交叠曝光时间
(0-39151)</v>
      </c>
      <c r="C47" s="23" t="s">
        <v>309</v>
      </c>
      <c r="D47" s="23">
        <f>ROUNDUP((VLOOKUP($D$40,$T$42:$AU$49,25,FALSE)+VLOOKUP($D$40,$T$42:$AU$49,20,FALSE)+VLOOKUP($D$40,$T$42:$AU$49,21,FALSE)+VLOOKUP($D$40,$T$42:$AU$49,28,FALSE))*Q56/1000,0)</f>
        <v>39151</v>
      </c>
      <c r="E47" s="24">
        <v>39151</v>
      </c>
      <c r="F47" s="26" t="s">
        <v>64</v>
      </c>
      <c r="G47" s="17"/>
      <c r="H47" s="22" t="s">
        <v>79</v>
      </c>
      <c r="I47" s="23" t="s">
        <v>80</v>
      </c>
      <c r="J47" s="29" t="s">
        <v>310</v>
      </c>
      <c r="K47" s="42">
        <f>Q62</f>
        <v>40248</v>
      </c>
      <c r="L47" s="43" t="s">
        <v>64</v>
      </c>
      <c r="N47" s="22" t="s">
        <v>311</v>
      </c>
      <c r="O47" s="23" t="s">
        <v>312</v>
      </c>
      <c r="P47" s="23" t="s">
        <v>58</v>
      </c>
      <c r="Q47" s="45">
        <f>VLOOKUP($D$40,$T$42:$AU$49,16,FALSE)</f>
        <v>1</v>
      </c>
      <c r="R47" s="40" t="s">
        <v>66</v>
      </c>
      <c r="T47" s="36"/>
      <c r="U47" s="36"/>
      <c r="V47" s="36"/>
      <c r="W47" s="36"/>
      <c r="X47" s="36"/>
      <c r="Y47" s="36"/>
      <c r="Z47" s="71"/>
      <c r="AA47" s="71"/>
    </row>
    <row r="48" spans="2:47" ht="30" hidden="1">
      <c r="B48" s="23" t="s">
        <v>67</v>
      </c>
      <c r="C48" s="23" t="s">
        <v>313</v>
      </c>
      <c r="D48" s="23">
        <f>VLOOKUP($D$40,$T$42:$AU$49,23,FALSE)</f>
        <v>40000</v>
      </c>
      <c r="E48" s="24">
        <f>B10</f>
        <v>40000</v>
      </c>
      <c r="F48" s="26" t="s">
        <v>64</v>
      </c>
      <c r="G48" s="17"/>
      <c r="H48" s="22" t="s">
        <v>87</v>
      </c>
      <c r="I48" s="23" t="s">
        <v>88</v>
      </c>
      <c r="J48" s="29" t="s">
        <v>314</v>
      </c>
      <c r="K48" s="44">
        <f>ROUNDUP(E48-Q50/Q43+(Q49+Q54)*K43/1000+E49+Q46/1000,0)</f>
        <v>41095</v>
      </c>
      <c r="L48" s="43" t="s">
        <v>64</v>
      </c>
      <c r="N48" s="22" t="s">
        <v>315</v>
      </c>
      <c r="O48" s="23" t="s">
        <v>316</v>
      </c>
      <c r="P48" s="23" t="s">
        <v>58</v>
      </c>
      <c r="Q48" s="45">
        <f>VLOOKUP($D$40,$T$42:$AU$49,20,FALSE)</f>
        <v>10</v>
      </c>
      <c r="R48" s="40" t="s">
        <v>317</v>
      </c>
      <c r="T48" s="36"/>
      <c r="U48" s="36"/>
      <c r="V48" s="36"/>
      <c r="W48" s="36"/>
      <c r="X48" s="36"/>
      <c r="Y48" s="36"/>
      <c r="Z48" s="71"/>
      <c r="AA48" s="71"/>
    </row>
    <row r="49" spans="2:24" ht="30" hidden="1">
      <c r="B49" s="23" t="s">
        <v>78</v>
      </c>
      <c r="C49" s="23" t="s">
        <v>318</v>
      </c>
      <c r="D49" s="23">
        <v>0</v>
      </c>
      <c r="E49" s="24">
        <f>B11</f>
        <v>0</v>
      </c>
      <c r="F49" s="26" t="s">
        <v>64</v>
      </c>
      <c r="G49" s="17"/>
      <c r="H49" s="22" t="s">
        <v>93</v>
      </c>
      <c r="I49" s="23" t="s">
        <v>94</v>
      </c>
      <c r="J49" s="23" t="s">
        <v>95</v>
      </c>
      <c r="K49" s="45">
        <f>ROUNDUP((1000000/E67)*E66,0)</f>
        <v>0</v>
      </c>
      <c r="L49" s="40" t="s">
        <v>64</v>
      </c>
      <c r="N49" s="22" t="s">
        <v>319</v>
      </c>
      <c r="O49" s="23" t="s">
        <v>320</v>
      </c>
      <c r="P49" s="23" t="s">
        <v>58</v>
      </c>
      <c r="Q49" s="45">
        <f>VLOOKUP($D$40,$T$42:$AU$49,17,FALSE)</f>
        <v>3</v>
      </c>
      <c r="R49" s="40" t="s">
        <v>317</v>
      </c>
    </row>
    <row r="50" spans="2:24" ht="105" hidden="1">
      <c r="B50" s="28" t="s">
        <v>552</v>
      </c>
      <c r="C50" s="29" t="s">
        <v>322</v>
      </c>
      <c r="D50" s="29" t="s">
        <v>66</v>
      </c>
      <c r="E50" s="24">
        <v>60000</v>
      </c>
      <c r="F50" s="26" t="s">
        <v>64</v>
      </c>
      <c r="G50" s="17"/>
      <c r="H50" s="22" t="s">
        <v>97</v>
      </c>
      <c r="I50" s="23" t="s">
        <v>323</v>
      </c>
      <c r="J50" s="23" t="s">
        <v>324</v>
      </c>
      <c r="K50" s="45">
        <f>E63*Q87</f>
        <v>0</v>
      </c>
      <c r="L50" s="40" t="s">
        <v>64</v>
      </c>
      <c r="N50" s="22" t="s">
        <v>325</v>
      </c>
      <c r="O50" s="23" t="s">
        <v>326</v>
      </c>
      <c r="P50" s="23" t="s">
        <v>58</v>
      </c>
      <c r="Q50" s="45">
        <f>VLOOKUP($D$40,$T$42:$AU$49,18,FALSE)</f>
        <v>1500</v>
      </c>
      <c r="R50" s="40" t="s">
        <v>327</v>
      </c>
    </row>
    <row r="51" spans="2:24" ht="30" hidden="1">
      <c r="B51" s="322" t="s">
        <v>328</v>
      </c>
      <c r="C51" s="323"/>
      <c r="D51" s="323"/>
      <c r="E51" s="323"/>
      <c r="F51" s="324"/>
      <c r="G51" s="17"/>
      <c r="H51" s="22" t="s">
        <v>329</v>
      </c>
      <c r="I51" s="29" t="s">
        <v>330</v>
      </c>
      <c r="J51" s="29" t="s">
        <v>331</v>
      </c>
      <c r="K51" s="45">
        <f>Q88</f>
        <v>21300</v>
      </c>
      <c r="L51" s="40" t="s">
        <v>64</v>
      </c>
      <c r="N51" s="22" t="s">
        <v>332</v>
      </c>
      <c r="O51" s="23" t="s">
        <v>333</v>
      </c>
      <c r="P51" s="23" t="s">
        <v>58</v>
      </c>
      <c r="Q51" s="45">
        <f>VLOOKUP($D$40,$T$42:$AU$49,19,FALSE)</f>
        <v>8</v>
      </c>
      <c r="R51" s="40" t="s">
        <v>317</v>
      </c>
    </row>
    <row r="52" spans="2:24" ht="30" hidden="1">
      <c r="B52" s="30" t="s">
        <v>334</v>
      </c>
      <c r="C52" s="29" t="s">
        <v>248</v>
      </c>
      <c r="D52" s="29">
        <v>0</v>
      </c>
      <c r="E52" s="31">
        <f>B14</f>
        <v>0</v>
      </c>
      <c r="F52" s="32" t="s">
        <v>66</v>
      </c>
      <c r="G52" s="17"/>
      <c r="H52" s="322" t="s">
        <v>335</v>
      </c>
      <c r="I52" s="323"/>
      <c r="J52" s="323"/>
      <c r="K52" s="323"/>
      <c r="L52" s="324"/>
      <c r="N52" s="22" t="s">
        <v>336</v>
      </c>
      <c r="O52" s="23" t="s">
        <v>337</v>
      </c>
      <c r="P52" s="23" t="s">
        <v>58</v>
      </c>
      <c r="Q52" s="45">
        <f>VLOOKUP($D$40,$T$42:$AU$49,28,FALSE)</f>
        <v>1</v>
      </c>
      <c r="R52" s="40" t="s">
        <v>317</v>
      </c>
    </row>
    <row r="53" spans="2:24" ht="60" hidden="1">
      <c r="B53" s="23" t="s">
        <v>92</v>
      </c>
      <c r="C53" s="23" t="s">
        <v>338</v>
      </c>
      <c r="D53" s="23">
        <v>0</v>
      </c>
      <c r="E53" s="24">
        <v>0</v>
      </c>
      <c r="F53" s="25" t="s">
        <v>64</v>
      </c>
      <c r="G53" s="17"/>
      <c r="H53" s="30" t="s">
        <v>73</v>
      </c>
      <c r="I53" s="29" t="s">
        <v>339</v>
      </c>
      <c r="J53" s="29" t="s">
        <v>553</v>
      </c>
      <c r="K53" s="42">
        <f>IF((E52=1)*(E46="TriggerWidth"),MAX(E47,E50),ROUNDUP((1000*E48-1000*Q50/Q43)/1000,0))</f>
        <v>39982</v>
      </c>
      <c r="L53" s="43" t="s">
        <v>64</v>
      </c>
      <c r="N53" s="22" t="s">
        <v>341</v>
      </c>
      <c r="O53" s="23" t="s">
        <v>342</v>
      </c>
      <c r="P53" s="23" t="s">
        <v>58</v>
      </c>
      <c r="Q53" s="45">
        <f>VLOOKUP($D$40,$T$42:$AU$49,27,FALSE)</f>
        <v>1</v>
      </c>
      <c r="R53" s="129" t="s">
        <v>66</v>
      </c>
      <c r="S53" s="36"/>
    </row>
    <row r="54" spans="2:24" ht="30" hidden="1">
      <c r="B54" s="322" t="s">
        <v>343</v>
      </c>
      <c r="C54" s="323"/>
      <c r="D54" s="323"/>
      <c r="E54" s="323"/>
      <c r="F54" s="324"/>
      <c r="G54" s="17"/>
      <c r="H54" s="30" t="s">
        <v>344</v>
      </c>
      <c r="I54" s="29" t="s">
        <v>345</v>
      </c>
      <c r="J54" s="29" t="s">
        <v>318</v>
      </c>
      <c r="K54" s="42">
        <f>E49</f>
        <v>0</v>
      </c>
      <c r="L54" s="43" t="s">
        <v>64</v>
      </c>
      <c r="N54" s="22" t="s">
        <v>346</v>
      </c>
      <c r="O54" s="23" t="s">
        <v>347</v>
      </c>
      <c r="P54" s="23" t="s">
        <v>58</v>
      </c>
      <c r="Q54" s="45">
        <f>VLOOKUP($D$40,$T$42:$AU$49,21,FALSE)</f>
        <v>1</v>
      </c>
      <c r="R54" s="40" t="s">
        <v>317</v>
      </c>
      <c r="S54" s="36"/>
    </row>
    <row r="55" spans="2:24" ht="105" hidden="1">
      <c r="B55" s="22" t="s">
        <v>348</v>
      </c>
      <c r="C55" s="23" t="s">
        <v>349</v>
      </c>
      <c r="D55" s="23">
        <v>0</v>
      </c>
      <c r="E55" s="24">
        <v>0</v>
      </c>
      <c r="F55" s="25" t="s">
        <v>298</v>
      </c>
      <c r="G55" s="17"/>
      <c r="H55" s="30" t="s">
        <v>350</v>
      </c>
      <c r="I55" s="29" t="s">
        <v>351</v>
      </c>
      <c r="J55" s="29" t="s">
        <v>554</v>
      </c>
      <c r="K55" s="44">
        <f>IF(Q53=1,IF((E52=1)*(E46="TriggerWidth"),IF((E47&lt;ROUNDUP(6*K43/1000,0))*(E47&gt;0),1,0),IF((MAX(K47,K48,K49)-K53)&lt;K47,(IF((MAX(K47,K48,K49)-K53)&gt;=(K47-ROUNDUP(Q51*K43/1000,0)),1,0)),0)),0)</f>
        <v>0</v>
      </c>
      <c r="L55" s="46" t="s">
        <v>66</v>
      </c>
      <c r="N55" s="322" t="s">
        <v>353</v>
      </c>
      <c r="O55" s="323"/>
      <c r="P55" s="323"/>
      <c r="Q55" s="323"/>
      <c r="R55" s="324"/>
      <c r="S55" s="36"/>
      <c r="T55" s="335" t="s">
        <v>354</v>
      </c>
      <c r="U55" s="336"/>
      <c r="V55" s="336"/>
      <c r="W55" s="336"/>
      <c r="X55" s="337"/>
    </row>
    <row r="56" spans="2:24" ht="60" hidden="1">
      <c r="B56" s="30" t="s">
        <v>355</v>
      </c>
      <c r="C56" s="29" t="s">
        <v>356</v>
      </c>
      <c r="D56" s="29">
        <v>0</v>
      </c>
      <c r="E56" s="31">
        <v>0</v>
      </c>
      <c r="F56" s="26" t="s">
        <v>298</v>
      </c>
      <c r="G56" s="17"/>
      <c r="H56" s="30" t="s">
        <v>357</v>
      </c>
      <c r="I56" s="29" t="s">
        <v>358</v>
      </c>
      <c r="J56" s="29" t="s">
        <v>555</v>
      </c>
      <c r="K56" s="42">
        <f>IF(K55=1,IF((E52=1)*(E46="TriggerWidth"),E47,K47-(MAX(K47,K48,K49)-K53)),0)</f>
        <v>0</v>
      </c>
      <c r="L56" s="46" t="s">
        <v>64</v>
      </c>
      <c r="N56" s="22" t="s">
        <v>360</v>
      </c>
      <c r="O56" s="23" t="s">
        <v>361</v>
      </c>
      <c r="P56" s="23" t="s">
        <v>362</v>
      </c>
      <c r="Q56" s="45">
        <f>ROUNDUP(1000*Q47*Q44/Q43,0)</f>
        <v>4250</v>
      </c>
      <c r="R56" s="40" t="s">
        <v>55</v>
      </c>
      <c r="T56" s="18" t="s">
        <v>152</v>
      </c>
      <c r="U56" s="19" t="s">
        <v>154</v>
      </c>
      <c r="V56" s="19" t="s">
        <v>41</v>
      </c>
      <c r="W56" s="19" t="s">
        <v>44</v>
      </c>
      <c r="X56" s="20" t="s">
        <v>155</v>
      </c>
    </row>
    <row r="57" spans="2:24" ht="60" hidden="1">
      <c r="B57" s="30" t="s">
        <v>363</v>
      </c>
      <c r="C57" s="29" t="s">
        <v>238</v>
      </c>
      <c r="D57" s="29">
        <f>VLOOKUP($D$40,$T$42:$AU$49,24,FALSE)</f>
        <v>11264</v>
      </c>
      <c r="E57" s="31">
        <f>B4</f>
        <v>11264</v>
      </c>
      <c r="F57" s="26" t="s">
        <v>298</v>
      </c>
      <c r="G57" s="17"/>
      <c r="H57" s="322" t="s">
        <v>364</v>
      </c>
      <c r="I57" s="323"/>
      <c r="J57" s="323"/>
      <c r="K57" s="323"/>
      <c r="L57" s="324"/>
      <c r="N57" s="22" t="s">
        <v>365</v>
      </c>
      <c r="O57" s="23" t="s">
        <v>366</v>
      </c>
      <c r="P57" s="23" t="s">
        <v>367</v>
      </c>
      <c r="Q57" s="44">
        <f>INT((E58*E73*Q56)/1000)</f>
        <v>39100</v>
      </c>
      <c r="R57" s="40" t="s">
        <v>64</v>
      </c>
      <c r="T57" s="63" t="s">
        <v>368</v>
      </c>
      <c r="U57" s="56" t="s">
        <v>369</v>
      </c>
      <c r="V57" s="64" t="s">
        <v>370</v>
      </c>
      <c r="W57" s="23" t="s">
        <v>318</v>
      </c>
      <c r="X57" s="32" t="str">
        <f>DEC2HEX(E49)</f>
        <v>0</v>
      </c>
    </row>
    <row r="58" spans="2:24" ht="90" hidden="1">
      <c r="B58" s="30" t="s">
        <v>371</v>
      </c>
      <c r="C58" s="29" t="s">
        <v>239</v>
      </c>
      <c r="D58" s="29">
        <f>VLOOKUP($D$40,$T$42:$AU$49,25,FALSE)</f>
        <v>9200</v>
      </c>
      <c r="E58" s="31">
        <f>B5</f>
        <v>9200</v>
      </c>
      <c r="F58" s="26" t="s">
        <v>298</v>
      </c>
      <c r="H58" s="30" t="s">
        <v>372</v>
      </c>
      <c r="I58" s="29" t="s">
        <v>373</v>
      </c>
      <c r="J58" s="29" t="s">
        <v>556</v>
      </c>
      <c r="K58" s="42" t="str">
        <f>IF(AND(E52=1,E46="TriggerWidth"),ROUNDUP(K47+MAX(E47,E50)-(E47-ROUNDUP(Q49*K43/1000,0))*(E47&gt;ROUNDUP(6*K43/1000,0)),0),"null")</f>
        <v>null</v>
      </c>
      <c r="L58" s="46" t="s">
        <v>64</v>
      </c>
      <c r="N58" s="22" t="s">
        <v>375</v>
      </c>
      <c r="O58" s="23" t="s">
        <v>376</v>
      </c>
      <c r="P58" s="23" t="s">
        <v>377</v>
      </c>
      <c r="Q58" s="45">
        <f>IF(K51&lt;=Q57,0,K51-Q57)</f>
        <v>0</v>
      </c>
      <c r="R58" s="40" t="s">
        <v>64</v>
      </c>
      <c r="T58" s="65" t="s">
        <v>378</v>
      </c>
      <c r="U58" s="56" t="s">
        <v>379</v>
      </c>
      <c r="V58" s="64" t="s">
        <v>380</v>
      </c>
      <c r="W58" s="23" t="s">
        <v>73</v>
      </c>
      <c r="X58" s="66" t="str">
        <f>DEC2HEX(K53)</f>
        <v>9C2E</v>
      </c>
    </row>
    <row r="59" spans="2:24" ht="45" hidden="1">
      <c r="B59" s="322" t="s">
        <v>381</v>
      </c>
      <c r="C59" s="323"/>
      <c r="D59" s="323"/>
      <c r="E59" s="323"/>
      <c r="F59" s="324"/>
      <c r="H59" s="30" t="s">
        <v>382</v>
      </c>
      <c r="I59" s="29" t="s">
        <v>383</v>
      </c>
      <c r="J59" s="29" t="s">
        <v>557</v>
      </c>
      <c r="K59" s="42" t="str">
        <f>IF(AND(E52=1,E46="TriggerWidth"),ROUNDUP(MAX(E47,E50)+Q50/Q43,0),"null")</f>
        <v>null</v>
      </c>
      <c r="L59" s="46" t="s">
        <v>64</v>
      </c>
      <c r="N59" s="22" t="s">
        <v>385</v>
      </c>
      <c r="O59" s="23" t="s">
        <v>386</v>
      </c>
      <c r="P59" s="23" t="s">
        <v>387</v>
      </c>
      <c r="Q59" s="45">
        <f>ROUNDUP(1000*Q58/(E58*E73),0)</f>
        <v>0</v>
      </c>
      <c r="R59" s="40" t="s">
        <v>55</v>
      </c>
      <c r="T59" s="65" t="s">
        <v>388</v>
      </c>
      <c r="U59" s="56" t="s">
        <v>389</v>
      </c>
      <c r="V59" s="64" t="s">
        <v>390</v>
      </c>
      <c r="W59" s="23" t="s">
        <v>79</v>
      </c>
      <c r="X59" s="66" t="str">
        <f>DEC2HEX(K47)</f>
        <v>9D38</v>
      </c>
    </row>
    <row r="60" spans="2:24" ht="75" hidden="1">
      <c r="B60" s="30" t="s">
        <v>391</v>
      </c>
      <c r="C60" s="29" t="s">
        <v>251</v>
      </c>
      <c r="D60" s="33" t="s">
        <v>66</v>
      </c>
      <c r="E60" s="31">
        <f>B17</f>
        <v>12.5</v>
      </c>
      <c r="F60" s="26" t="s">
        <v>392</v>
      </c>
      <c r="H60" s="322" t="s">
        <v>393</v>
      </c>
      <c r="I60" s="323"/>
      <c r="J60" s="323"/>
      <c r="K60" s="323"/>
      <c r="L60" s="324"/>
      <c r="N60" s="22" t="s">
        <v>65</v>
      </c>
      <c r="O60" s="23" t="s">
        <v>394</v>
      </c>
      <c r="P60" s="23" t="s">
        <v>395</v>
      </c>
      <c r="Q60" s="45">
        <f>ROUNDUP((ROUNDUP(Q59*Q43/Q47/1000,0)+Q44)/4,0)*4</f>
        <v>340</v>
      </c>
      <c r="R60" s="40" t="s">
        <v>298</v>
      </c>
      <c r="T60" s="65" t="s">
        <v>396</v>
      </c>
      <c r="U60" s="56" t="s">
        <v>397</v>
      </c>
      <c r="V60" s="64" t="s">
        <v>398</v>
      </c>
      <c r="W60" s="23" t="s">
        <v>399</v>
      </c>
      <c r="X60" s="66" t="str">
        <f>DEC2HEX(MAX(K47,K48,K49,K50))</f>
        <v>A087</v>
      </c>
    </row>
    <row r="61" spans="2:24" ht="120" hidden="1">
      <c r="B61" s="30" t="s">
        <v>400</v>
      </c>
      <c r="C61" s="29" t="s">
        <v>252</v>
      </c>
      <c r="D61" s="33" t="s">
        <v>66</v>
      </c>
      <c r="E61" s="31">
        <f>B18</f>
        <v>4</v>
      </c>
      <c r="F61" s="26" t="s">
        <v>66</v>
      </c>
      <c r="H61" s="30" t="s">
        <v>401</v>
      </c>
      <c r="I61" s="29" t="s">
        <v>402</v>
      </c>
      <c r="J61" s="29" t="s">
        <v>403</v>
      </c>
      <c r="K61" s="42">
        <f>K45*4*Q76*E58/1000000</f>
        <v>2521.6887699233484</v>
      </c>
      <c r="L61" s="32" t="s">
        <v>141</v>
      </c>
      <c r="N61" s="22" t="s">
        <v>293</v>
      </c>
      <c r="O61" s="23" t="s">
        <v>404</v>
      </c>
      <c r="P61" s="23" t="s">
        <v>405</v>
      </c>
      <c r="Q61" s="45">
        <f>ROUNDUP(1000*Q47*Q60/Q43,0)</f>
        <v>4250</v>
      </c>
      <c r="R61" s="40" t="s">
        <v>55</v>
      </c>
      <c r="T61" s="65" t="s">
        <v>406</v>
      </c>
      <c r="U61" s="56" t="s">
        <v>407</v>
      </c>
      <c r="V61" s="64" t="s">
        <v>408</v>
      </c>
      <c r="W61" s="23" t="s">
        <v>558</v>
      </c>
      <c r="X61" s="66" t="str">
        <f>IF(E46="TriggerWidth",DEC2HEX(MAX(K47,K49)),DEC2HEX(MAX(K47,K48,K49)))</f>
        <v>A087</v>
      </c>
    </row>
    <row r="62" spans="2:24" ht="75" hidden="1">
      <c r="B62" s="30" t="s">
        <v>559</v>
      </c>
      <c r="C62" s="29" t="s">
        <v>247</v>
      </c>
      <c r="D62" s="33">
        <v>8192</v>
      </c>
      <c r="E62" s="31">
        <f>B13</f>
        <v>8192</v>
      </c>
      <c r="F62" s="26" t="s">
        <v>116</v>
      </c>
      <c r="H62" s="34" t="s">
        <v>411</v>
      </c>
      <c r="I62" s="47" t="s">
        <v>412</v>
      </c>
      <c r="J62" s="29" t="s">
        <v>413</v>
      </c>
      <c r="K62" s="42">
        <f>4*K45*Q82/1000000</f>
        <v>2538.3266090765301</v>
      </c>
      <c r="L62" s="32" t="s">
        <v>141</v>
      </c>
      <c r="N62" s="22" t="s">
        <v>310</v>
      </c>
      <c r="O62" s="23" t="s">
        <v>414</v>
      </c>
      <c r="P62" s="23" t="s">
        <v>415</v>
      </c>
      <c r="Q62" s="45">
        <f>ROUNDUP(((E58*E73+Q48+Q52+Q54)*Q61+Q46)/1000,0)</f>
        <v>40248</v>
      </c>
      <c r="R62" s="40" t="s">
        <v>64</v>
      </c>
      <c r="T62" s="65" t="s">
        <v>416</v>
      </c>
      <c r="U62" s="56" t="s">
        <v>417</v>
      </c>
      <c r="V62" s="64" t="s">
        <v>418</v>
      </c>
      <c r="W62" s="23" t="s">
        <v>419</v>
      </c>
      <c r="X62" s="66" t="str">
        <f>DEC2HEX(MAX(K47,K48))</f>
        <v>A087</v>
      </c>
    </row>
    <row r="63" spans="2:24" ht="39" hidden="1" customHeight="1">
      <c r="B63" s="30" t="s">
        <v>420</v>
      </c>
      <c r="C63" s="29" t="s">
        <v>253</v>
      </c>
      <c r="D63" s="33">
        <v>0</v>
      </c>
      <c r="E63" s="24">
        <f>B19</f>
        <v>0</v>
      </c>
      <c r="F63" s="26" t="s">
        <v>66</v>
      </c>
      <c r="H63" s="34" t="s">
        <v>421</v>
      </c>
      <c r="I63" s="47" t="s">
        <v>422</v>
      </c>
      <c r="J63" s="29" t="s">
        <v>423</v>
      </c>
      <c r="K63" s="42">
        <f>E61*E60*8*1000*(100-E76)/100/10/8</f>
        <v>4950</v>
      </c>
      <c r="L63" s="32" t="s">
        <v>141</v>
      </c>
      <c r="N63" s="325" t="s">
        <v>424</v>
      </c>
      <c r="O63" s="326"/>
      <c r="P63" s="326"/>
      <c r="Q63" s="326"/>
      <c r="R63" s="327"/>
      <c r="T63" s="63" t="s">
        <v>425</v>
      </c>
      <c r="U63" s="56" t="s">
        <v>426</v>
      </c>
      <c r="V63" s="64" t="s">
        <v>427</v>
      </c>
      <c r="W63" s="23" t="s">
        <v>428</v>
      </c>
      <c r="X63" s="32" t="str">
        <f>DEC2HEX(IF(Q53=1,ROUNDUP(6*K43/1000,0),0))</f>
        <v>1A</v>
      </c>
    </row>
    <row r="64" spans="2:24" ht="36.75" hidden="1" customHeight="1">
      <c r="B64" s="30" t="s">
        <v>429</v>
      </c>
      <c r="C64" s="29" t="s">
        <v>254</v>
      </c>
      <c r="D64" s="33">
        <v>5000</v>
      </c>
      <c r="E64" s="31">
        <f>B20/1000000</f>
        <v>5000</v>
      </c>
      <c r="F64" s="26" t="s">
        <v>560</v>
      </c>
      <c r="H64" s="35" t="s">
        <v>431</v>
      </c>
      <c r="I64" s="48" t="s">
        <v>432</v>
      </c>
      <c r="J64" s="49" t="s">
        <v>433</v>
      </c>
      <c r="K64" s="50">
        <f>4*Q76*1000000000/Q61/1000000</f>
        <v>2650.3529411764707</v>
      </c>
      <c r="L64" s="51" t="s">
        <v>141</v>
      </c>
      <c r="N64" s="18" t="s">
        <v>40</v>
      </c>
      <c r="O64" s="19" t="s">
        <v>41</v>
      </c>
      <c r="P64" s="19" t="s">
        <v>44</v>
      </c>
      <c r="Q64" s="19" t="s">
        <v>47</v>
      </c>
      <c r="R64" s="54" t="s">
        <v>46</v>
      </c>
      <c r="T64" s="63" t="s">
        <v>434</v>
      </c>
      <c r="U64" s="56" t="s">
        <v>435</v>
      </c>
      <c r="V64" s="64" t="s">
        <v>436</v>
      </c>
      <c r="W64" s="23" t="s">
        <v>305</v>
      </c>
      <c r="X64" s="67">
        <f>IF(AND(E52=1,E46="TriggerWidth"),1,0)</f>
        <v>0</v>
      </c>
    </row>
    <row r="65" spans="2:24" ht="40.5" hidden="1" customHeight="1">
      <c r="B65" s="322" t="s">
        <v>437</v>
      </c>
      <c r="C65" s="323"/>
      <c r="D65" s="323"/>
      <c r="E65" s="323"/>
      <c r="F65" s="324"/>
      <c r="N65" s="22" t="s">
        <v>438</v>
      </c>
      <c r="O65" s="23" t="s">
        <v>439</v>
      </c>
      <c r="P65" s="23" t="s">
        <v>440</v>
      </c>
      <c r="Q65" s="45">
        <v>1</v>
      </c>
      <c r="R65" s="40" t="s">
        <v>441</v>
      </c>
      <c r="T65" s="87" t="s">
        <v>442</v>
      </c>
      <c r="U65" s="56" t="s">
        <v>443</v>
      </c>
      <c r="V65" s="29" t="s">
        <v>444</v>
      </c>
      <c r="W65" s="29" t="s">
        <v>66</v>
      </c>
      <c r="X65" s="67">
        <v>1</v>
      </c>
    </row>
    <row r="66" spans="2:24" ht="40.5" hidden="1" customHeight="1">
      <c r="B66" s="22" t="s">
        <v>445</v>
      </c>
      <c r="C66" s="23" t="s">
        <v>446</v>
      </c>
      <c r="D66" s="23">
        <v>0</v>
      </c>
      <c r="E66" s="24">
        <f>B16</f>
        <v>0</v>
      </c>
      <c r="F66" s="25" t="s">
        <v>66</v>
      </c>
      <c r="N66" s="22" t="s">
        <v>447</v>
      </c>
      <c r="O66" s="23" t="s">
        <v>448</v>
      </c>
      <c r="P66" s="23" t="s">
        <v>440</v>
      </c>
      <c r="Q66" s="45">
        <v>1</v>
      </c>
      <c r="R66" s="40" t="s">
        <v>441</v>
      </c>
      <c r="T66" s="342" t="s">
        <v>449</v>
      </c>
      <c r="U66" s="343"/>
      <c r="V66" s="343"/>
      <c r="W66" s="343"/>
      <c r="X66" s="344"/>
    </row>
    <row r="67" spans="2:24" ht="42" hidden="1" customHeight="1">
      <c r="B67" s="78" t="s">
        <v>183</v>
      </c>
      <c r="C67" s="79" t="s">
        <v>450</v>
      </c>
      <c r="D67" s="79">
        <f>VLOOKUP($D$40,$T$42:$AU$49,26,FALSE)</f>
        <v>24</v>
      </c>
      <c r="E67" s="80">
        <f>B15</f>
        <v>24</v>
      </c>
      <c r="F67" s="81" t="s">
        <v>70</v>
      </c>
      <c r="N67" s="22" t="s">
        <v>451</v>
      </c>
      <c r="O67" s="23" t="s">
        <v>452</v>
      </c>
      <c r="P67" s="23" t="s">
        <v>453</v>
      </c>
      <c r="Q67" s="45">
        <v>4</v>
      </c>
      <c r="R67" s="40" t="s">
        <v>441</v>
      </c>
      <c r="T67" s="18" t="s">
        <v>152</v>
      </c>
      <c r="U67" s="19" t="s">
        <v>154</v>
      </c>
      <c r="V67" s="19" t="s">
        <v>41</v>
      </c>
      <c r="W67" s="19" t="s">
        <v>44</v>
      </c>
      <c r="X67" s="20" t="s">
        <v>155</v>
      </c>
    </row>
    <row r="68" spans="2:24" ht="41.25" hidden="1" customHeight="1">
      <c r="B68" s="322" t="s">
        <v>454</v>
      </c>
      <c r="C68" s="323"/>
      <c r="D68" s="323"/>
      <c r="E68" s="323"/>
      <c r="F68" s="324"/>
      <c r="N68" s="22" t="s">
        <v>455</v>
      </c>
      <c r="O68" s="23" t="s">
        <v>456</v>
      </c>
      <c r="P68" s="23" t="s">
        <v>440</v>
      </c>
      <c r="Q68" s="45">
        <v>1</v>
      </c>
      <c r="R68" s="40" t="s">
        <v>441</v>
      </c>
      <c r="T68" s="63" t="s">
        <v>457</v>
      </c>
      <c r="U68" s="56" t="s">
        <v>458</v>
      </c>
      <c r="V68" s="64" t="s">
        <v>459</v>
      </c>
      <c r="W68" s="23" t="s">
        <v>457</v>
      </c>
      <c r="X68" s="32" t="str">
        <f>DEC2HEX(Q76)</f>
        <v>B00</v>
      </c>
    </row>
    <row r="69" spans="2:24" ht="30" hidden="1">
      <c r="B69" s="22" t="s">
        <v>460</v>
      </c>
      <c r="C69" s="23" t="s">
        <v>461</v>
      </c>
      <c r="D69" s="23">
        <v>1</v>
      </c>
      <c r="E69" s="24">
        <f>B8</f>
        <v>1</v>
      </c>
      <c r="F69" s="25" t="s">
        <v>66</v>
      </c>
      <c r="N69" s="22" t="s">
        <v>462</v>
      </c>
      <c r="O69" s="23" t="s">
        <v>463</v>
      </c>
      <c r="P69" s="23" t="s">
        <v>440</v>
      </c>
      <c r="Q69" s="45">
        <v>1</v>
      </c>
      <c r="R69" s="40" t="s">
        <v>441</v>
      </c>
      <c r="T69" s="88" t="s">
        <v>464</v>
      </c>
      <c r="U69" s="56" t="s">
        <v>465</v>
      </c>
      <c r="V69" s="64" t="s">
        <v>466</v>
      </c>
      <c r="W69" s="23" t="s">
        <v>464</v>
      </c>
      <c r="X69" s="89" t="str">
        <f>DEC2HEX(Q77-4294967296*INT(Q77/4294967296))</f>
        <v>18B97F9</v>
      </c>
    </row>
    <row r="70" spans="2:24" ht="30" hidden="1">
      <c r="B70" s="78" t="s">
        <v>467</v>
      </c>
      <c r="C70" s="79" t="s">
        <v>468</v>
      </c>
      <c r="D70" s="79">
        <v>1</v>
      </c>
      <c r="E70" s="80">
        <f>B9</f>
        <v>1</v>
      </c>
      <c r="F70" s="81" t="s">
        <v>66</v>
      </c>
      <c r="N70" s="22" t="s">
        <v>469</v>
      </c>
      <c r="O70" s="23" t="s">
        <v>470</v>
      </c>
      <c r="P70" s="23" t="s">
        <v>471</v>
      </c>
      <c r="Q70" s="45">
        <v>4</v>
      </c>
      <c r="R70" s="40" t="s">
        <v>441</v>
      </c>
      <c r="T70" s="88" t="s">
        <v>472</v>
      </c>
      <c r="U70" s="56" t="s">
        <v>473</v>
      </c>
      <c r="V70" s="64" t="s">
        <v>474</v>
      </c>
      <c r="W70" s="23" t="s">
        <v>472</v>
      </c>
      <c r="X70" s="89" t="str">
        <f>DEC2HEX(INT(Q77/4294967296))</f>
        <v>0</v>
      </c>
    </row>
    <row r="71" spans="2:24" ht="75" hidden="1">
      <c r="B71" s="322" t="s">
        <v>475</v>
      </c>
      <c r="C71" s="323"/>
      <c r="D71" s="323"/>
      <c r="E71" s="323"/>
      <c r="F71" s="324"/>
      <c r="N71" s="22" t="s">
        <v>476</v>
      </c>
      <c r="O71" s="29" t="s">
        <v>477</v>
      </c>
      <c r="P71" s="23" t="s">
        <v>478</v>
      </c>
      <c r="Q71" s="45">
        <f>Q65+Q66+Q67+Q68+Q69</f>
        <v>8</v>
      </c>
      <c r="R71" s="40" t="s">
        <v>441</v>
      </c>
      <c r="T71" s="90" t="s">
        <v>479</v>
      </c>
      <c r="U71" s="91" t="s">
        <v>480</v>
      </c>
      <c r="V71" s="29" t="s">
        <v>481</v>
      </c>
      <c r="W71" s="23" t="s">
        <v>479</v>
      </c>
      <c r="X71" s="92" t="str">
        <f t="shared" ref="X71:X73" si="0">DEC2HEX(Q78)</f>
        <v>7F8</v>
      </c>
    </row>
    <row r="72" spans="2:24" ht="30" hidden="1">
      <c r="B72" s="22" t="s">
        <v>482</v>
      </c>
      <c r="C72" s="23" t="s">
        <v>483</v>
      </c>
      <c r="D72" s="23">
        <v>1</v>
      </c>
      <c r="E72" s="24">
        <f>B6</f>
        <v>1</v>
      </c>
      <c r="F72" s="25" t="s">
        <v>66</v>
      </c>
      <c r="N72" s="322" t="s">
        <v>484</v>
      </c>
      <c r="O72" s="323"/>
      <c r="P72" s="323"/>
      <c r="Q72" s="323"/>
      <c r="R72" s="324"/>
      <c r="T72" s="90" t="s">
        <v>485</v>
      </c>
      <c r="U72" s="91" t="s">
        <v>486</v>
      </c>
      <c r="V72" s="29" t="s">
        <v>487</v>
      </c>
      <c r="W72" s="23" t="s">
        <v>488</v>
      </c>
      <c r="X72" s="92" t="str">
        <f t="shared" si="0"/>
        <v>31A4</v>
      </c>
    </row>
    <row r="73" spans="2:24" ht="30" hidden="1">
      <c r="B73" s="78" t="s">
        <v>489</v>
      </c>
      <c r="C73" s="79" t="s">
        <v>490</v>
      </c>
      <c r="D73" s="79">
        <v>1</v>
      </c>
      <c r="E73" s="80">
        <f>B7</f>
        <v>1</v>
      </c>
      <c r="F73" s="81" t="s">
        <v>66</v>
      </c>
      <c r="N73" s="18" t="s">
        <v>40</v>
      </c>
      <c r="O73" s="19" t="s">
        <v>41</v>
      </c>
      <c r="P73" s="19" t="s">
        <v>44</v>
      </c>
      <c r="Q73" s="19" t="s">
        <v>47</v>
      </c>
      <c r="R73" s="54" t="s">
        <v>46</v>
      </c>
      <c r="T73" s="90" t="s">
        <v>491</v>
      </c>
      <c r="U73" s="91" t="s">
        <v>492</v>
      </c>
      <c r="V73" s="29" t="s">
        <v>493</v>
      </c>
      <c r="W73" s="23" t="s">
        <v>494</v>
      </c>
      <c r="X73" s="92" t="str">
        <f t="shared" si="0"/>
        <v>519</v>
      </c>
    </row>
    <row r="74" spans="2:24" hidden="1">
      <c r="B74" s="345" t="s">
        <v>495</v>
      </c>
      <c r="C74" s="346"/>
      <c r="D74" s="346"/>
      <c r="E74" s="346"/>
      <c r="F74" s="347"/>
      <c r="N74" s="22" t="s">
        <v>496</v>
      </c>
      <c r="O74" s="29" t="s">
        <v>497</v>
      </c>
      <c r="P74" s="23" t="s">
        <v>498</v>
      </c>
      <c r="Q74" s="45">
        <v>25</v>
      </c>
      <c r="R74" s="40" t="s">
        <v>441</v>
      </c>
      <c r="T74" s="30" t="s">
        <v>499</v>
      </c>
      <c r="U74" s="91" t="s">
        <v>500</v>
      </c>
      <c r="V74" s="29" t="s">
        <v>501</v>
      </c>
      <c r="W74" s="93" t="s">
        <v>502</v>
      </c>
      <c r="X74" s="92" t="str">
        <f>DEC2HEX(65536*E61+IF(E60=6.25,HEX2DEC(48),IF(E60=12.5,HEX2DEC(58),HEX2DEC(58))))</f>
        <v>40058</v>
      </c>
    </row>
    <row r="75" spans="2:24" ht="60" hidden="1">
      <c r="B75" s="30" t="s">
        <v>503</v>
      </c>
      <c r="C75" s="29" t="s">
        <v>504</v>
      </c>
      <c r="D75" s="33">
        <v>0</v>
      </c>
      <c r="E75" s="31">
        <v>0</v>
      </c>
      <c r="F75" s="26" t="s">
        <v>441</v>
      </c>
      <c r="N75" s="22" t="s">
        <v>505</v>
      </c>
      <c r="O75" s="29" t="s">
        <v>506</v>
      </c>
      <c r="P75" s="23" t="s">
        <v>507</v>
      </c>
      <c r="Q75" s="45">
        <v>2</v>
      </c>
      <c r="R75" s="40" t="s">
        <v>441</v>
      </c>
      <c r="T75" s="94" t="s">
        <v>508</v>
      </c>
      <c r="U75" s="95" t="s">
        <v>509</v>
      </c>
      <c r="V75" s="49" t="s">
        <v>510</v>
      </c>
      <c r="W75" s="96" t="s">
        <v>504</v>
      </c>
      <c r="X75" s="97" t="str">
        <f>DEC2HEX(E75)</f>
        <v>0</v>
      </c>
    </row>
    <row r="76" spans="2:24" ht="75" hidden="1">
      <c r="B76" s="30" t="s">
        <v>511</v>
      </c>
      <c r="C76" s="29" t="s">
        <v>512</v>
      </c>
      <c r="D76" s="33">
        <v>1</v>
      </c>
      <c r="E76" s="31">
        <v>1</v>
      </c>
      <c r="F76" s="26" t="s">
        <v>513</v>
      </c>
      <c r="N76" s="22" t="s">
        <v>457</v>
      </c>
      <c r="O76" s="29" t="s">
        <v>459</v>
      </c>
      <c r="P76" s="23" t="s">
        <v>514</v>
      </c>
      <c r="Q76" s="44">
        <f>ROUNDUP(E57*2*E44/16/4,0)</f>
        <v>2816</v>
      </c>
      <c r="R76" s="40" t="s">
        <v>441</v>
      </c>
    </row>
    <row r="77" spans="2:24" ht="30" hidden="1">
      <c r="B77" s="348" t="s">
        <v>515</v>
      </c>
      <c r="C77" s="349"/>
      <c r="D77" s="349"/>
      <c r="E77" s="349"/>
      <c r="F77" s="350"/>
      <c r="N77" s="30" t="s">
        <v>516</v>
      </c>
      <c r="O77" s="29" t="s">
        <v>517</v>
      </c>
      <c r="P77" s="23" t="s">
        <v>518</v>
      </c>
      <c r="Q77" s="44">
        <f>E58*(Q75+Q76)+Q74</f>
        <v>25925625</v>
      </c>
      <c r="R77" s="40" t="s">
        <v>441</v>
      </c>
    </row>
    <row r="78" spans="2:24" ht="45" hidden="1">
      <c r="B78" s="82" t="s">
        <v>7</v>
      </c>
      <c r="C78" s="351" t="s">
        <v>519</v>
      </c>
      <c r="D78" s="351"/>
      <c r="E78" s="352">
        <f>K45</f>
        <v>24.333860566978952</v>
      </c>
      <c r="F78" s="353"/>
      <c r="N78" s="30" t="s">
        <v>479</v>
      </c>
      <c r="O78" s="29" t="s">
        <v>481</v>
      </c>
      <c r="P78" s="23" t="s">
        <v>520</v>
      </c>
      <c r="Q78" s="45">
        <f>IF(E62/4&gt;=Q71,E62/4-Q71,0)</f>
        <v>2040</v>
      </c>
      <c r="R78" s="40" t="s">
        <v>441</v>
      </c>
    </row>
    <row r="79" spans="2:24" ht="30" hidden="1">
      <c r="N79" s="22" t="s">
        <v>488</v>
      </c>
      <c r="O79" s="29" t="s">
        <v>487</v>
      </c>
      <c r="P79" s="23" t="s">
        <v>521</v>
      </c>
      <c r="Q79" s="98">
        <f>IF(Q78=0,0,INT(Q77/Q78))</f>
        <v>12708</v>
      </c>
      <c r="R79" s="40" t="s">
        <v>66</v>
      </c>
    </row>
    <row r="80" spans="2:24" ht="45" hidden="1">
      <c r="J80" s="17"/>
      <c r="N80" s="22" t="s">
        <v>494</v>
      </c>
      <c r="O80" s="29" t="s">
        <v>493</v>
      </c>
      <c r="P80" s="23" t="s">
        <v>522</v>
      </c>
      <c r="Q80" s="98">
        <f>IF(Q78=0,0,Q77-Q78*Q79)</f>
        <v>1305</v>
      </c>
      <c r="R80" s="40" t="s">
        <v>441</v>
      </c>
    </row>
    <row r="81" spans="14:18" ht="30" hidden="1">
      <c r="N81" s="22" t="s">
        <v>523</v>
      </c>
      <c r="O81" s="29" t="s">
        <v>524</v>
      </c>
      <c r="P81" s="23" t="s">
        <v>525</v>
      </c>
      <c r="Q81" s="45">
        <f>IF(Q80=0,0,1)</f>
        <v>1</v>
      </c>
      <c r="R81" s="40" t="s">
        <v>66</v>
      </c>
    </row>
    <row r="82" spans="14:18" ht="60" hidden="1">
      <c r="N82" s="55" t="s">
        <v>526</v>
      </c>
      <c r="O82" s="56" t="s">
        <v>527</v>
      </c>
      <c r="P82" s="56" t="s">
        <v>528</v>
      </c>
      <c r="Q82" s="99">
        <f>Q79*(Q78+Q71+Q70)+Q81*(Q80+Q71+Q70)</f>
        <v>26078133</v>
      </c>
      <c r="R82" s="100" t="s">
        <v>441</v>
      </c>
    </row>
    <row r="83" spans="14:18" ht="30" hidden="1">
      <c r="N83" s="30" t="s">
        <v>529</v>
      </c>
      <c r="O83" s="29" t="s">
        <v>530</v>
      </c>
      <c r="P83" s="29" t="s">
        <v>531</v>
      </c>
      <c r="Q83" s="101">
        <f>(Q81+Q79)*E75</f>
        <v>0</v>
      </c>
      <c r="R83" s="40" t="s">
        <v>441</v>
      </c>
    </row>
    <row r="84" spans="14:18" ht="60" hidden="1">
      <c r="N84" s="30" t="s">
        <v>532</v>
      </c>
      <c r="O84" s="29" t="s">
        <v>533</v>
      </c>
      <c r="P84" s="29" t="s">
        <v>534</v>
      </c>
      <c r="Q84" s="42">
        <f>Q82+Q83</f>
        <v>26078133</v>
      </c>
      <c r="R84" s="40" t="s">
        <v>441</v>
      </c>
    </row>
    <row r="85" spans="14:18" ht="45" hidden="1">
      <c r="N85" s="30" t="s">
        <v>535</v>
      </c>
      <c r="O85" s="29" t="s">
        <v>536</v>
      </c>
      <c r="P85" s="29" t="s">
        <v>537</v>
      </c>
      <c r="Q85" s="102">
        <f>1*100/95</f>
        <v>1.0526315789473684</v>
      </c>
      <c r="R85" s="46" t="s">
        <v>513</v>
      </c>
    </row>
    <row r="86" spans="14:18" ht="45" hidden="1">
      <c r="N86" s="30" t="s">
        <v>538</v>
      </c>
      <c r="O86" s="29" t="s">
        <v>539</v>
      </c>
      <c r="P86" s="29" t="s">
        <v>540</v>
      </c>
      <c r="Q86" s="42">
        <f>INT(E61*10000000*E60*(100-E76-Q85))</f>
        <v>48973684210</v>
      </c>
      <c r="R86" s="32" t="s">
        <v>541</v>
      </c>
    </row>
    <row r="87" spans="14:18" ht="45" hidden="1">
      <c r="N87" s="85" t="s">
        <v>542</v>
      </c>
      <c r="O87" s="28" t="s">
        <v>543</v>
      </c>
      <c r="P87" s="28" t="s">
        <v>561</v>
      </c>
      <c r="Q87" s="103">
        <f>ROUNDUP(Q82*4*100/(E64*(100-Q85)),0)</f>
        <v>21085</v>
      </c>
      <c r="R87" s="67" t="s">
        <v>64</v>
      </c>
    </row>
    <row r="88" spans="14:18" ht="45" hidden="1">
      <c r="N88" s="86" t="s">
        <v>545</v>
      </c>
      <c r="O88" s="49" t="s">
        <v>546</v>
      </c>
      <c r="P88" s="49" t="s">
        <v>547</v>
      </c>
      <c r="Q88" s="50">
        <f>ROUNDUP(4*Q84*1000000/Q86,0)*10</f>
        <v>21300</v>
      </c>
      <c r="R88" s="104" t="s">
        <v>64</v>
      </c>
    </row>
    <row r="111" spans="8:10">
      <c r="H111" s="83"/>
      <c r="I111" s="338"/>
      <c r="J111" s="338"/>
    </row>
    <row r="112" spans="8:10">
      <c r="H112" s="83"/>
      <c r="I112" s="83"/>
      <c r="J112" s="83"/>
    </row>
    <row r="113" spans="2:10">
      <c r="H113" s="83"/>
      <c r="I113" s="83"/>
      <c r="J113" s="83"/>
    </row>
    <row r="114" spans="2:10">
      <c r="H114" s="83"/>
      <c r="I114" s="83"/>
      <c r="J114" s="83"/>
    </row>
    <row r="115" spans="2:10">
      <c r="H115" s="83"/>
      <c r="I115" s="83"/>
      <c r="J115" s="83"/>
    </row>
    <row r="116" spans="2:10">
      <c r="H116" s="83"/>
      <c r="I116" s="338"/>
      <c r="J116" s="338"/>
    </row>
    <row r="117" spans="2:10">
      <c r="G117" s="84"/>
      <c r="H117" s="83"/>
      <c r="I117" s="83"/>
      <c r="J117" s="83"/>
    </row>
    <row r="118" spans="2:10">
      <c r="B118" s="83"/>
      <c r="C118" s="83"/>
      <c r="D118" s="83"/>
      <c r="E118" s="83"/>
      <c r="G118" s="83"/>
      <c r="H118" s="83"/>
      <c r="I118" s="83"/>
      <c r="J118" s="83"/>
    </row>
    <row r="119" spans="2:10">
      <c r="B119" s="83"/>
      <c r="C119" s="83"/>
      <c r="D119" s="83"/>
      <c r="E119" s="83"/>
      <c r="G119" s="83"/>
      <c r="H119" s="83"/>
      <c r="I119" s="83"/>
      <c r="J119" s="83"/>
    </row>
    <row r="120" spans="2:10">
      <c r="B120" s="83"/>
      <c r="C120" s="83"/>
      <c r="D120" s="83"/>
      <c r="E120" s="83"/>
      <c r="G120" s="83"/>
      <c r="H120" s="83"/>
      <c r="I120" s="83"/>
      <c r="J120" s="83"/>
    </row>
    <row r="121" spans="2:10">
      <c r="B121" s="83"/>
      <c r="C121" s="83"/>
      <c r="D121" s="83"/>
      <c r="E121" s="83"/>
      <c r="F121" s="84"/>
      <c r="G121" s="83"/>
      <c r="H121" s="83"/>
      <c r="I121" s="338"/>
      <c r="J121" s="338"/>
    </row>
    <row r="122" spans="2:10">
      <c r="B122" s="83"/>
      <c r="C122" s="83"/>
      <c r="D122" s="83"/>
      <c r="E122" s="83"/>
      <c r="F122" s="83"/>
      <c r="G122" s="83"/>
      <c r="H122" s="83"/>
      <c r="I122" s="83"/>
      <c r="J122" s="83"/>
    </row>
    <row r="123" spans="2:10">
      <c r="B123" s="83"/>
      <c r="C123" s="83"/>
      <c r="D123" s="83"/>
      <c r="E123" s="83"/>
      <c r="F123" s="83"/>
      <c r="G123" s="83"/>
      <c r="H123" s="83"/>
      <c r="I123" s="83"/>
      <c r="J123" s="83"/>
    </row>
    <row r="124" spans="2:10">
      <c r="B124" s="83"/>
      <c r="C124" s="83"/>
      <c r="D124" s="83"/>
      <c r="E124" s="83"/>
      <c r="F124" s="83"/>
      <c r="G124" s="83"/>
      <c r="H124" s="83"/>
      <c r="I124" s="83"/>
      <c r="J124" s="83"/>
    </row>
    <row r="125" spans="2:10">
      <c r="B125" s="84"/>
      <c r="C125" s="84"/>
      <c r="D125" s="83"/>
      <c r="E125" s="83"/>
      <c r="F125" s="83"/>
      <c r="G125" s="83"/>
      <c r="H125" s="83"/>
      <c r="I125" s="83"/>
      <c r="J125" s="83"/>
    </row>
    <row r="126" spans="2:10">
      <c r="B126" s="83"/>
      <c r="C126" s="84"/>
      <c r="D126" s="83"/>
      <c r="E126" s="83"/>
      <c r="F126" s="83"/>
      <c r="G126" s="83"/>
      <c r="H126" s="83"/>
      <c r="I126" s="83"/>
      <c r="J126" s="83"/>
    </row>
    <row r="127" spans="2:10">
      <c r="B127" s="83"/>
      <c r="C127" s="84"/>
      <c r="D127" s="83"/>
      <c r="E127" s="83"/>
      <c r="F127" s="83"/>
      <c r="G127" s="83"/>
      <c r="H127" s="83"/>
      <c r="I127" s="83"/>
      <c r="J127" s="83"/>
    </row>
    <row r="128" spans="2:10">
      <c r="B128" s="83"/>
      <c r="C128" s="83"/>
      <c r="D128" s="83"/>
      <c r="E128" s="83"/>
      <c r="F128" s="83"/>
      <c r="G128" s="83"/>
      <c r="H128" s="83"/>
      <c r="I128" s="83"/>
      <c r="J128" s="83"/>
    </row>
    <row r="129" spans="2:10">
      <c r="B129" s="83"/>
      <c r="C129" s="83"/>
      <c r="D129" s="83"/>
      <c r="E129" s="83"/>
      <c r="F129" s="83"/>
      <c r="G129" s="83"/>
      <c r="H129" s="83"/>
      <c r="I129" s="83"/>
      <c r="J129" s="83"/>
    </row>
    <row r="130" spans="2:10">
      <c r="B130" s="83"/>
      <c r="C130" s="83"/>
      <c r="D130" s="83"/>
      <c r="E130" s="83"/>
      <c r="F130" s="83"/>
      <c r="G130" s="83"/>
      <c r="H130" s="83"/>
      <c r="I130" s="83"/>
      <c r="J130" s="83"/>
    </row>
    <row r="131" spans="2:10">
      <c r="B131" s="83"/>
      <c r="C131" s="83"/>
      <c r="D131" s="83"/>
      <c r="E131" s="83"/>
      <c r="F131" s="83"/>
      <c r="G131" s="83"/>
      <c r="H131" s="83"/>
      <c r="I131" s="83"/>
      <c r="J131" s="83"/>
    </row>
    <row r="132" spans="2:10">
      <c r="B132" s="83"/>
      <c r="C132" s="83"/>
      <c r="D132" s="83"/>
      <c r="E132" s="83"/>
      <c r="F132" s="83"/>
      <c r="G132" s="83"/>
      <c r="H132" s="83"/>
      <c r="I132" s="83"/>
      <c r="J132" s="83"/>
    </row>
    <row r="133" spans="2:10">
      <c r="B133" s="83"/>
      <c r="C133" s="83"/>
      <c r="D133" s="83"/>
      <c r="E133" s="83"/>
      <c r="F133" s="83"/>
      <c r="G133" s="83"/>
      <c r="H133" s="83"/>
      <c r="I133" s="83"/>
      <c r="J133" s="83"/>
    </row>
    <row r="134" spans="2:10">
      <c r="B134" s="83"/>
      <c r="C134" s="83"/>
      <c r="D134" s="83"/>
      <c r="E134" s="83"/>
      <c r="F134" s="83"/>
      <c r="G134" s="83"/>
      <c r="H134" s="83"/>
      <c r="I134" s="83"/>
      <c r="J134" s="83"/>
    </row>
    <row r="135" spans="2:10">
      <c r="B135" s="83"/>
      <c r="C135" s="83"/>
      <c r="D135" s="83"/>
      <c r="E135" s="83"/>
      <c r="F135" s="83"/>
      <c r="G135" s="83"/>
      <c r="H135" s="83"/>
      <c r="I135" s="83"/>
      <c r="J135" s="83"/>
    </row>
    <row r="136" spans="2:10">
      <c r="B136" s="83"/>
      <c r="C136" s="83"/>
      <c r="D136" s="83"/>
      <c r="E136" s="83"/>
      <c r="F136" s="83"/>
      <c r="G136" s="83"/>
    </row>
    <row r="137" spans="2:10">
      <c r="B137" s="83"/>
      <c r="C137" s="83"/>
      <c r="D137" s="83"/>
      <c r="E137" s="83"/>
      <c r="F137" s="83"/>
      <c r="G137" s="83"/>
    </row>
    <row r="138" spans="2:10">
      <c r="B138" s="83"/>
      <c r="C138" s="83"/>
      <c r="D138" s="83"/>
      <c r="E138" s="83"/>
      <c r="F138" s="83"/>
      <c r="G138" s="83"/>
    </row>
    <row r="139" spans="2:10">
      <c r="B139" s="83"/>
      <c r="C139" s="83"/>
      <c r="D139" s="83"/>
      <c r="E139" s="83"/>
      <c r="F139" s="83"/>
      <c r="G139" s="83"/>
    </row>
    <row r="140" spans="2:10">
      <c r="B140" s="83"/>
      <c r="C140" s="83"/>
      <c r="D140" s="83"/>
      <c r="E140" s="83"/>
      <c r="F140" s="83"/>
      <c r="G140" s="83"/>
    </row>
    <row r="141" spans="2:10">
      <c r="B141" s="83"/>
      <c r="C141" s="83"/>
      <c r="D141" s="83"/>
      <c r="E141" s="83"/>
      <c r="F141" s="83"/>
      <c r="G141" s="83"/>
    </row>
    <row r="142" spans="2:10">
      <c r="B142" s="83"/>
      <c r="C142" s="83"/>
      <c r="D142" s="83"/>
      <c r="E142" s="83"/>
      <c r="F142" s="83"/>
    </row>
    <row r="143" spans="2:10">
      <c r="F143" s="83"/>
    </row>
    <row r="144" spans="2:10">
      <c r="F144" s="83"/>
    </row>
    <row r="145" spans="6:6">
      <c r="F145" s="83"/>
    </row>
  </sheetData>
  <sheetProtection password="DE11" sheet="1" objects="1" selectLockedCells="1"/>
  <mergeCells count="30">
    <mergeCell ref="I111:J111"/>
    <mergeCell ref="I116:J116"/>
    <mergeCell ref="I121:J121"/>
    <mergeCell ref="B71:F71"/>
    <mergeCell ref="N72:R72"/>
    <mergeCell ref="B74:F74"/>
    <mergeCell ref="B77:F77"/>
    <mergeCell ref="C78:D78"/>
    <mergeCell ref="E78:F78"/>
    <mergeCell ref="H60:L60"/>
    <mergeCell ref="N63:R63"/>
    <mergeCell ref="B65:F65"/>
    <mergeCell ref="T66:X66"/>
    <mergeCell ref="B68:F68"/>
    <mergeCell ref="B54:F54"/>
    <mergeCell ref="N55:R55"/>
    <mergeCell ref="T55:X55"/>
    <mergeCell ref="H57:L57"/>
    <mergeCell ref="B59:F59"/>
    <mergeCell ref="B43:F43"/>
    <mergeCell ref="B45:F45"/>
    <mergeCell ref="H46:L46"/>
    <mergeCell ref="B51:F51"/>
    <mergeCell ref="H52:L52"/>
    <mergeCell ref="H40:L40"/>
    <mergeCell ref="N40:R40"/>
    <mergeCell ref="T40:AU40"/>
    <mergeCell ref="B41:F41"/>
    <mergeCell ref="H41:L41"/>
    <mergeCell ref="N41:R41"/>
  </mergeCells>
  <phoneticPr fontId="12" type="noConversion"/>
  <dataValidations count="38">
    <dataValidation allowBlank="1" showErrorMessage="1" promptTitle="参数变化" prompt="该参数会根据当前生效的水平像素Binning、水平像素抽样变化" sqref="B2" xr:uid="{00000000-0002-0000-0300-000000000000}"/>
    <dataValidation type="whole" allowBlank="1" showInputMessage="1" showErrorMessage="1" errorTitle="设置值超出范围" error="预留带宽设置值超出范围" sqref="E76" xr:uid="{00000000-0002-0000-0300-000001000000}">
      <formula1>D76</formula1>
      <formula2>99</formula2>
    </dataValidation>
    <dataValidation type="whole" allowBlank="1" showInputMessage="1" showErrorMessage="1" errorTitle="超出范围" error="曝光时间的范围是14us-1s" sqref="E48" xr:uid="{00000000-0002-0000-0300-000002000000}">
      <formula1>14</formula1>
      <formula2>10000000</formula2>
    </dataValidation>
    <dataValidation type="list" allowBlank="1" showInputMessage="1" showErrorMessage="1" sqref="E46" xr:uid="{00000000-0002-0000-0300-000003000000}">
      <formula1>"Timed,TriggerWidth"</formula1>
    </dataValidation>
    <dataValidation allowBlank="1" showInputMessage="1" showErrorMessage="1" error="输入范围是64~1024，步长为2" sqref="A1:B1" xr:uid="{00000000-0002-0000-0300-000004000000}"/>
    <dataValidation allowBlank="1" showErrorMessage="1" promptTitle="参数变化" prompt="该参数会根据当前生效的垂直像素Binning、垂直像素抽样变化" sqref="B3" xr:uid="{00000000-0002-0000-0300-000005000000}"/>
    <dataValidation type="list" allowBlank="1" showInputMessage="1" showErrorMessage="1" error="请输入参数0或者1" sqref="B14" xr:uid="{00000000-0002-0000-0300-000006000000}">
      <formula1>"0,1"</formula1>
    </dataValidation>
    <dataValidation type="whole" allowBlank="1" showInputMessage="1" showErrorMessage="1" error="输入范围是[0,5000]，单位为us" sqref="B11" xr:uid="{00000000-0002-0000-0300-000007000000}">
      <formula1>0</formula1>
      <formula2>5000</formula2>
    </dataValidation>
    <dataValidation type="custom" allowBlank="1" showInputMessage="1" showErrorMessage="1" errorTitle="输入数值非法" error="输入范围是32~图像宽度最大值，步长为32" sqref="B4" xr:uid="{00000000-0002-0000-0300-000008000000}">
      <formula1>AND((B4&lt;=B2),(B4&gt;=32),(MOD(B4,32)=0))</formula1>
    </dataValidation>
    <dataValidation type="custom" allowBlank="1" showInputMessage="1" showErrorMessage="1" errorTitle="输入数值非法" error="输入范围是2~图像高度最大值，步长为2" sqref="B5" xr:uid="{00000000-0002-0000-0300-000009000000}">
      <formula1>AND((B5&lt;=B3),(B5&gt;=2),(MOD(B5,2)=0))</formula1>
    </dataValidation>
    <dataValidation type="list" allowBlank="1" showInputMessage="1" showErrorMessage="1" error="请输入8或者12" sqref="B12" xr:uid="{00000000-0002-0000-0300-00000A000000}">
      <formula1>"8,12"</formula1>
    </dataValidation>
    <dataValidation type="whole" allowBlank="1" showInputMessage="1" showErrorMessage="1" errorTitle="超出范围" error="曝光时间的范围是20us-1s" sqref="B10" xr:uid="{00000000-0002-0000-0300-00000B000000}">
      <formula1>20</formula1>
      <formula2>1000000</formula2>
    </dataValidation>
    <dataValidation type="custom" allowBlank="1" showInputMessage="1" showErrorMessage="1" error="输入范围是512~8192，步长为4" sqref="B13" xr:uid="{00000000-0002-0000-0300-00000C000000}">
      <formula1>AND((B13&lt;=8192),(B13&gt;=512),(MOD(B13,4)=0))</formula1>
    </dataValidation>
    <dataValidation type="custom" allowBlank="1" showInputMessage="1" showErrorMessage="1" error="设置值范围0.1~10000.0，精确到一位小数" sqref="B15" xr:uid="{00000000-0002-0000-0300-00000D000000}">
      <formula1>AND(TRUNC(B15,1)=B15,(B15&gt;=0.1),(B15&lt;=10000))</formula1>
    </dataValidation>
    <dataValidation type="list" allowBlank="1" showInputMessage="1" showErrorMessage="1" errorTitle="超出范围" error="请输入0或者1" sqref="B16" xr:uid="{00000000-0002-0000-0300-00000E000000}">
      <formula1>"0,1"</formula1>
    </dataValidation>
    <dataValidation type="list" allowBlank="1" showInputMessage="1" showErrorMessage="1" error="请输入参数6.25或者12.5" sqref="B17" xr:uid="{00000000-0002-0000-0300-00000F000000}">
      <formula1>"6.25,12.5"</formula1>
    </dataValidation>
    <dataValidation type="whole" allowBlank="1" showInputMessage="1" showErrorMessage="1" errorTitle="超出范围" error="曝光延迟的范围是0-5000us" sqref="E49" xr:uid="{00000000-0002-0000-0300-000010000000}">
      <formula1>0</formula1>
      <formula2>5000</formula2>
    </dataValidation>
    <dataValidation type="list" allowBlank="1" showInputMessage="1" showErrorMessage="1" error="请输入参数为1或者2或者4" sqref="B18" xr:uid="{00000000-0002-0000-0300-000011000000}">
      <formula1>"1,2,4"</formula1>
    </dataValidation>
    <dataValidation type="whole" allowBlank="1" showInputMessage="1" showErrorMessage="1" errorTitle="流包包长设置错误" error="流包包长范围512-16384bytes" sqref="E62" xr:uid="{00000000-0002-0000-0300-000012000000}">
      <formula1>512</formula1>
      <formula2>8192</formula2>
    </dataValidation>
    <dataValidation type="list" allowBlank="1" showInputMessage="1" showErrorMessage="1" error="请输入0或者1" sqref="B19" xr:uid="{00000000-0002-0000-0300-000013000000}">
      <formula1>"0,1"</formula1>
    </dataValidation>
    <dataValidation type="custom" allowBlank="1" showInputMessage="1" showErrorMessage="1" error="输入范围是[100000000,5000000000]，步长10000000，单位Bps" sqref="B20" xr:uid="{00000000-0002-0000-0300-000014000000}">
      <formula1>AND((B20&lt;=5000000000),(B20&gt;=100000000),(MOD(B20,10000000)=0))</formula1>
    </dataValidation>
    <dataValidation type="list" allowBlank="1" showInputMessage="1" showErrorMessage="1" sqref="D40" xr:uid="{00000000-0002-0000-0300-000015000000}">
      <formula1>$T$42:$T$46</formula1>
    </dataValidation>
    <dataValidation type="list" allowBlank="1" showInputMessage="1" showErrorMessage="1" sqref="E44" xr:uid="{00000000-0002-0000-0300-000016000000}">
      <formula1>"8,10,12"</formula1>
    </dataValidation>
    <dataValidation type="custom" allowBlank="1" showInputMessage="1" showErrorMessage="1" errorTitle="带宽限制值设置错误" error="带宽限制值需要以10MBps为步长，最小值100MBps" sqref="E64" xr:uid="{00000000-0002-0000-0300-000017000000}">
      <formula1>AND(E64&lt;=D64,E64&gt;=100,MOD(E64,10)=0)</formula1>
    </dataValidation>
    <dataValidation type="whole" allowBlank="1" showInputMessage="1" showErrorMessage="1" errorTitle="超出范围" error="触发信号宽度的范围是1-1000000us" sqref="E50" xr:uid="{00000000-0002-0000-0300-000018000000}">
      <formula1>1</formula1>
      <formula2>1000000</formula2>
    </dataValidation>
    <dataValidation type="whole" allowBlank="1" showInputMessage="1" showErrorMessage="1" errorTitle="超出范围" error="触发延时的范围是0-3000000us" sqref="E53" xr:uid="{00000000-0002-0000-0300-000019000000}">
      <formula1>0</formula1>
      <formula2>3000000</formula2>
    </dataValidation>
    <dataValidation type="list" allowBlank="1" showInputMessage="1" showErrorMessage="1" sqref="E52" xr:uid="{00000000-0002-0000-0300-00001A000000}">
      <formula1>"0,1"</formula1>
    </dataValidation>
    <dataValidation type="whole" allowBlank="1" showInputMessage="1" showErrorMessage="1" errorTitle="输入数值非法" error="最小值4，最大值D12" sqref="E57" xr:uid="{00000000-0002-0000-0300-00001B000000}">
      <formula1>32</formula1>
      <formula2>D57</formula2>
    </dataValidation>
    <dataValidation type="whole" allowBlank="1" showInputMessage="1" showErrorMessage="1" errorTitle="输入数值非法" error="最小值2，最大值D13" sqref="E58" xr:uid="{00000000-0002-0000-0300-00001C000000}">
      <formula1>2</formula1>
      <formula2>D58</formula2>
    </dataValidation>
    <dataValidation type="list" allowBlank="1" showInputMessage="1" showErrorMessage="1" sqref="E60" xr:uid="{00000000-0002-0000-0300-00001D000000}">
      <formula1>"12.5,6.25"</formula1>
    </dataValidation>
    <dataValidation type="list" allowBlank="1" showInputMessage="1" showErrorMessage="1" sqref="E61" xr:uid="{00000000-0002-0000-0300-00001E000000}">
      <formula1>"1,2,4"</formula1>
    </dataValidation>
    <dataValidation type="list" allowBlank="1" showInputMessage="1" showErrorMessage="1" errorTitle="超出范围" error="0:关闭_x000a_1:打开" sqref="E63 E66" xr:uid="{00000000-0002-0000-0300-00001F000000}">
      <formula1>"0,1"</formula1>
    </dataValidation>
    <dataValidation type="decimal" allowBlank="1" showInputMessage="1" showErrorMessage="1" sqref="E67" xr:uid="{00000000-0002-0000-0300-000020000000}">
      <formula1>0.1</formula1>
      <formula2>10000</formula2>
    </dataValidation>
    <dataValidation type="list" allowBlank="1" showErrorMessage="1" error="只支持1x 2x 4x水平Binning/Skipping，且需要同步修改水平ROI" sqref="E69 E72" xr:uid="{00000000-0002-0000-0300-000021000000}">
      <formula1>"1,2,4"</formula1>
    </dataValidation>
    <dataValidation type="list" allowBlank="1" showErrorMessage="1" error="只支持1x 2x 4x垂直Binning/Skipping，且需要同步修改垂直ROI" sqref="E70 E73" xr:uid="{00000000-0002-0000-0300-000022000000}">
      <formula1>"1,2,4"</formula1>
    </dataValidation>
    <dataValidation type="whole" allowBlank="1" showInputMessage="1" showErrorMessage="1" errorTitle="设置值超出范围" error="包间隔设置值超出范围" sqref="E75" xr:uid="{00000000-0002-0000-0300-000023000000}">
      <formula1>0</formula1>
      <formula2>K73</formula2>
    </dataValidation>
    <dataValidation type="list" allowBlank="1" showInputMessage="1" showErrorMessage="1" errorTitle="输入数值非法" error="输入参数值为1或者2或者4" sqref="B6:B7" xr:uid="{00000000-0002-0000-0300-000024000000}">
      <formula1>"1,2,4"</formula1>
    </dataValidation>
    <dataValidation type="list" allowBlank="1" showInputMessage="1" showErrorMessage="1" error="输入参数值为1或者2或者4" sqref="B8:B9" xr:uid="{00000000-0002-0000-0300-000025000000}">
      <formula1>"1,2,4"</formula1>
    </dataValidation>
  </dataValidation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U145"/>
  <sheetViews>
    <sheetView workbookViewId="0">
      <selection activeCell="B20" sqref="B20"/>
    </sheetView>
  </sheetViews>
  <sheetFormatPr defaultColWidth="9" defaultRowHeight="15"/>
  <cols>
    <col min="1" max="1" width="33.28515625" style="130" customWidth="1"/>
    <col min="2" max="2" width="17.42578125" style="130" customWidth="1"/>
    <col min="3" max="3" width="14.85546875" style="130" customWidth="1"/>
    <col min="4" max="4" width="15.42578125" style="130" customWidth="1"/>
    <col min="5" max="5" width="14.42578125" style="130" customWidth="1"/>
    <col min="6" max="6" width="14.7109375" style="130" customWidth="1"/>
    <col min="7" max="7" width="16.42578125" style="130" customWidth="1"/>
    <col min="8" max="8" width="16.140625" style="130" customWidth="1"/>
    <col min="9" max="9" width="15.7109375" style="130" customWidth="1"/>
    <col min="10" max="10" width="15.28515625" style="130" customWidth="1"/>
    <col min="11" max="11" width="15.5703125" style="130" customWidth="1"/>
    <col min="12" max="13" width="15.42578125" style="130" customWidth="1"/>
    <col min="14" max="14" width="17.7109375" style="130" customWidth="1"/>
    <col min="15" max="15" width="16" style="130" customWidth="1"/>
    <col min="16" max="16" width="16.28515625" style="130" customWidth="1"/>
    <col min="17" max="17" width="14.85546875" style="130" customWidth="1"/>
    <col min="18" max="18" width="15.5703125" style="130" customWidth="1"/>
    <col min="19" max="19" width="16.5703125" style="130" customWidth="1"/>
    <col min="20" max="20" width="16.85546875" style="130" customWidth="1"/>
    <col min="21" max="21" width="15.42578125" style="130" customWidth="1"/>
    <col min="22" max="22" width="16.5703125" style="130" customWidth="1"/>
    <col min="23" max="23" width="16" style="130" customWidth="1"/>
    <col min="24" max="24" width="14.140625" style="130" customWidth="1"/>
    <col min="25" max="25" width="13.7109375" style="130" customWidth="1"/>
    <col min="26" max="26" width="13.85546875" style="130" customWidth="1"/>
    <col min="27" max="27" width="14" style="130" customWidth="1"/>
    <col min="28" max="28" width="17" style="130" customWidth="1"/>
    <col min="29" max="29" width="20.42578125" style="130" customWidth="1"/>
    <col min="30" max="30" width="21" style="130" customWidth="1"/>
    <col min="31" max="31" width="20.28515625" style="130" customWidth="1"/>
    <col min="32" max="32" width="22.5703125" style="130" customWidth="1"/>
    <col min="33" max="33" width="24.140625" style="130" customWidth="1"/>
    <col min="34" max="34" width="11.5703125" style="130" customWidth="1"/>
    <col min="35" max="35" width="21.5703125" style="130" customWidth="1"/>
    <col min="36" max="36" width="17.28515625" style="130" customWidth="1"/>
    <col min="37" max="37" width="13.42578125" style="130" customWidth="1"/>
    <col min="38" max="38" width="12.85546875" style="130" customWidth="1"/>
    <col min="39" max="41" width="21.5703125" style="130" customWidth="1"/>
    <col min="42" max="42" width="19.42578125" style="130" customWidth="1"/>
    <col min="43" max="45" width="20.28515625" style="130" customWidth="1"/>
    <col min="46" max="16384" width="9" style="130"/>
  </cols>
  <sheetData>
    <row r="1" spans="1:10" s="217" customFormat="1">
      <c r="A1" s="224"/>
      <c r="B1" s="232"/>
    </row>
    <row r="2" spans="1:10" s="217" customFormat="1">
      <c r="A2" s="229" t="s">
        <v>236</v>
      </c>
      <c r="B2" s="231">
        <f>ROUNDDOWN(D57/B8/B6/32,0)*32</f>
        <v>9344</v>
      </c>
    </row>
    <row r="3" spans="1:10" s="217" customFormat="1">
      <c r="A3" s="229" t="s">
        <v>237</v>
      </c>
      <c r="B3" s="231">
        <f>ROUNDDOWN(D58/B9/B7/2,0)*2</f>
        <v>7000</v>
      </c>
      <c r="J3" s="230"/>
    </row>
    <row r="4" spans="1:10" s="217" customFormat="1">
      <c r="A4" s="224" t="s">
        <v>238</v>
      </c>
      <c r="B4" s="225">
        <v>9344</v>
      </c>
      <c r="C4" s="219" t="str">
        <f>IF(OR(B4&gt;B2,B4&lt;4),H26,"")</f>
        <v/>
      </c>
    </row>
    <row r="5" spans="1:10" s="217" customFormat="1">
      <c r="A5" s="224" t="s">
        <v>239</v>
      </c>
      <c r="B5" s="225">
        <v>7000</v>
      </c>
      <c r="C5" s="219" t="str">
        <f>IF(OR(B5&gt;B3,B5&lt;2),H27,"")</f>
        <v/>
      </c>
    </row>
    <row r="6" spans="1:10" s="217" customFormat="1">
      <c r="A6" s="224" t="s">
        <v>240</v>
      </c>
      <c r="B6" s="225">
        <v>1</v>
      </c>
      <c r="C6" s="219" t="str">
        <f>IF(OR(AND(B6=2,B8=2),AND(B6=4,B8=4),AND(B6=2,B8=4),AND(B6=4,B8=2)),H29,"")</f>
        <v/>
      </c>
    </row>
    <row r="7" spans="1:10" s="217" customFormat="1">
      <c r="A7" s="224" t="s">
        <v>241</v>
      </c>
      <c r="B7" s="225">
        <v>1</v>
      </c>
      <c r="C7" s="219" t="str">
        <f>IF(OR(AND(B7=2,B9=2),AND(B7=4,B9=4),AND(B7=2,B9=4),AND(B7=4,B9=2)),H30,"")</f>
        <v/>
      </c>
    </row>
    <row r="8" spans="1:10" s="217" customFormat="1">
      <c r="A8" s="229" t="s">
        <v>242</v>
      </c>
      <c r="B8" s="228">
        <v>1</v>
      </c>
    </row>
    <row r="9" spans="1:10" s="217" customFormat="1">
      <c r="A9" s="229" t="s">
        <v>243</v>
      </c>
      <c r="B9" s="228">
        <v>1</v>
      </c>
    </row>
    <row r="10" spans="1:10" s="217" customFormat="1">
      <c r="A10" s="224" t="s">
        <v>244</v>
      </c>
      <c r="B10" s="225">
        <v>10000</v>
      </c>
    </row>
    <row r="11" spans="1:10" s="217" customFormat="1">
      <c r="A11" s="227" t="s">
        <v>245</v>
      </c>
      <c r="B11" s="226">
        <v>0</v>
      </c>
    </row>
    <row r="12" spans="1:10" s="217" customFormat="1">
      <c r="A12" s="224" t="s">
        <v>582</v>
      </c>
      <c r="B12" s="225">
        <v>8</v>
      </c>
    </row>
    <row r="13" spans="1:10" s="217" customFormat="1">
      <c r="A13" s="224" t="s">
        <v>247</v>
      </c>
      <c r="B13" s="225">
        <v>8192</v>
      </c>
    </row>
    <row r="14" spans="1:10" s="217" customFormat="1">
      <c r="A14" s="224" t="s">
        <v>248</v>
      </c>
      <c r="B14" s="225">
        <v>0</v>
      </c>
    </row>
    <row r="15" spans="1:10" s="217" customFormat="1">
      <c r="A15" s="224" t="s">
        <v>249</v>
      </c>
      <c r="B15" s="225">
        <v>71.099999999999994</v>
      </c>
    </row>
    <row r="16" spans="1:10" s="217" customFormat="1">
      <c r="A16" s="224" t="s">
        <v>250</v>
      </c>
      <c r="B16" s="225">
        <v>0</v>
      </c>
    </row>
    <row r="17" spans="1:8" s="217" customFormat="1">
      <c r="A17" s="224" t="s">
        <v>251</v>
      </c>
      <c r="B17" s="225">
        <v>12.5</v>
      </c>
    </row>
    <row r="18" spans="1:8" s="217" customFormat="1">
      <c r="A18" s="224" t="s">
        <v>252</v>
      </c>
      <c r="B18" s="225">
        <v>4</v>
      </c>
    </row>
    <row r="19" spans="1:8" s="217" customFormat="1" ht="18" customHeight="1">
      <c r="A19" s="224" t="s">
        <v>253</v>
      </c>
      <c r="B19" s="225">
        <v>0</v>
      </c>
    </row>
    <row r="20" spans="1:8" s="217" customFormat="1">
      <c r="A20" s="224" t="s">
        <v>254</v>
      </c>
      <c r="B20" s="225">
        <v>5000000000</v>
      </c>
    </row>
    <row r="21" spans="1:8" s="217" customFormat="1">
      <c r="A21" s="224"/>
      <c r="B21" s="223"/>
    </row>
    <row r="22" spans="1:8" s="217" customFormat="1" ht="15.75">
      <c r="A22" s="221"/>
      <c r="B22" s="222"/>
    </row>
    <row r="23" spans="1:8" s="217" customFormat="1" ht="15.75">
      <c r="A23" s="221" t="s">
        <v>255</v>
      </c>
      <c r="B23" s="220">
        <f>K45</f>
        <v>71.093416749608991</v>
      </c>
      <c r="C23" s="219" t="str">
        <f>IF(H32,H28,"")</f>
        <v/>
      </c>
    </row>
    <row r="24" spans="1:8" s="217" customFormat="1" ht="15" hidden="1" customHeight="1"/>
    <row r="25" spans="1:8" s="217" customFormat="1" hidden="1">
      <c r="H25" s="131" t="s">
        <v>581</v>
      </c>
    </row>
    <row r="26" spans="1:8" s="217" customFormat="1" hidden="1">
      <c r="H26" s="131" t="s">
        <v>580</v>
      </c>
    </row>
    <row r="27" spans="1:8" s="217" customFormat="1" hidden="1">
      <c r="H27" s="131" t="s">
        <v>579</v>
      </c>
    </row>
    <row r="28" spans="1:8" s="217" customFormat="1" hidden="1">
      <c r="H28" s="131" t="s">
        <v>578</v>
      </c>
    </row>
    <row r="29" spans="1:8" s="217" customFormat="1" hidden="1">
      <c r="H29" s="131" t="s">
        <v>577</v>
      </c>
    </row>
    <row r="30" spans="1:8" s="217" customFormat="1" hidden="1">
      <c r="H30" s="131" t="s">
        <v>576</v>
      </c>
    </row>
    <row r="31" spans="1:8" s="217" customFormat="1" hidden="1">
      <c r="H31" s="131" t="s">
        <v>575</v>
      </c>
    </row>
    <row r="32" spans="1:8" s="217" customFormat="1" hidden="1">
      <c r="H32" s="131">
        <f>IF(OR(OR(B4&gt;B2,B4&lt;4),OR(B5&gt;B3,B5&lt;2),OR(AND(B6=2,B8=2),AND(B6=4,B8=4),AND(B6=2,B8=4),AND(B6=4,B8=2)),OR(AND(B7=2,B9=2),AND(B7=4,B9=4),AND(B7=2,B9=4),AND(B7=4,B9=2))),1,0)</f>
        <v>0</v>
      </c>
    </row>
    <row r="33" spans="2:47" s="217" customFormat="1" hidden="1"/>
    <row r="34" spans="2:47" s="217" customFormat="1" hidden="1"/>
    <row r="35" spans="2:47" s="217" customFormat="1" hidden="1"/>
    <row r="36" spans="2:47" s="217" customFormat="1" hidden="1"/>
    <row r="37" spans="2:47" s="217" customFormat="1" hidden="1"/>
    <row r="38" spans="2:47" s="217" customFormat="1" hidden="1"/>
    <row r="39" spans="2:47" s="217" customFormat="1" hidden="1">
      <c r="B39" s="218"/>
      <c r="C39" s="218"/>
      <c r="E39" s="218"/>
      <c r="F39" s="218"/>
      <c r="T39" s="218"/>
      <c r="U39" s="218"/>
      <c r="V39" s="218"/>
      <c r="W39" s="218"/>
      <c r="X39" s="218"/>
      <c r="Y39" s="218"/>
    </row>
    <row r="40" spans="2:47" ht="27.75" hidden="1" customHeight="1">
      <c r="B40" s="216" t="s">
        <v>0</v>
      </c>
      <c r="C40" s="216" t="s">
        <v>1</v>
      </c>
      <c r="D40" s="215" t="s">
        <v>299</v>
      </c>
      <c r="E40" s="157"/>
      <c r="F40" s="157"/>
      <c r="G40" s="157"/>
      <c r="H40" s="376" t="s">
        <v>3</v>
      </c>
      <c r="I40" s="377"/>
      <c r="J40" s="377"/>
      <c r="K40" s="377"/>
      <c r="L40" s="378"/>
      <c r="M40" s="193"/>
      <c r="N40" s="376" t="s">
        <v>4</v>
      </c>
      <c r="O40" s="377"/>
      <c r="P40" s="377"/>
      <c r="Q40" s="377"/>
      <c r="R40" s="378"/>
      <c r="S40" s="193"/>
      <c r="T40" s="379" t="s">
        <v>5</v>
      </c>
      <c r="U40" s="380"/>
      <c r="V40" s="380"/>
      <c r="W40" s="380"/>
      <c r="X40" s="380"/>
      <c r="Y40" s="380"/>
      <c r="Z40" s="380"/>
      <c r="AA40" s="380"/>
      <c r="AB40" s="380"/>
      <c r="AC40" s="380"/>
      <c r="AD40" s="380"/>
      <c r="AE40" s="380"/>
      <c r="AF40" s="380"/>
      <c r="AG40" s="380"/>
      <c r="AH40" s="380"/>
      <c r="AI40" s="380"/>
      <c r="AJ40" s="380"/>
      <c r="AK40" s="380"/>
      <c r="AL40" s="380"/>
      <c r="AM40" s="380"/>
      <c r="AN40" s="380"/>
      <c r="AO40" s="380"/>
      <c r="AP40" s="380"/>
      <c r="AQ40" s="380"/>
      <c r="AR40" s="380"/>
      <c r="AS40" s="380"/>
      <c r="AT40" s="380"/>
      <c r="AU40" s="381"/>
    </row>
    <row r="41" spans="2:47" ht="45" hidden="1">
      <c r="B41" s="376" t="s">
        <v>264</v>
      </c>
      <c r="C41" s="377"/>
      <c r="D41" s="377"/>
      <c r="E41" s="377"/>
      <c r="F41" s="378"/>
      <c r="G41" s="157"/>
      <c r="H41" s="355" t="s">
        <v>7</v>
      </c>
      <c r="I41" s="356"/>
      <c r="J41" s="356"/>
      <c r="K41" s="356"/>
      <c r="L41" s="357"/>
      <c r="M41" s="193"/>
      <c r="N41" s="355" t="s">
        <v>265</v>
      </c>
      <c r="O41" s="356"/>
      <c r="P41" s="356"/>
      <c r="Q41" s="356"/>
      <c r="R41" s="357"/>
      <c r="S41" s="193"/>
      <c r="T41" s="214" t="s">
        <v>9</v>
      </c>
      <c r="U41" s="213" t="s">
        <v>10</v>
      </c>
      <c r="V41" s="213" t="s">
        <v>11</v>
      </c>
      <c r="W41" s="213" t="s">
        <v>266</v>
      </c>
      <c r="X41" s="213" t="s">
        <v>267</v>
      </c>
      <c r="Y41" s="213" t="s">
        <v>268</v>
      </c>
      <c r="Z41" s="213" t="s">
        <v>269</v>
      </c>
      <c r="AA41" s="213" t="s">
        <v>270</v>
      </c>
      <c r="AB41" s="213" t="s">
        <v>271</v>
      </c>
      <c r="AC41" s="213" t="s">
        <v>272</v>
      </c>
      <c r="AD41" s="213" t="s">
        <v>273</v>
      </c>
      <c r="AE41" s="213" t="s">
        <v>274</v>
      </c>
      <c r="AF41" s="213" t="s">
        <v>275</v>
      </c>
      <c r="AG41" s="213" t="s">
        <v>276</v>
      </c>
      <c r="AH41" s="213" t="s">
        <v>277</v>
      </c>
      <c r="AI41" s="213" t="s">
        <v>278</v>
      </c>
      <c r="AJ41" s="213" t="s">
        <v>279</v>
      </c>
      <c r="AK41" s="213" t="s">
        <v>280</v>
      </c>
      <c r="AL41" s="213" t="s">
        <v>281</v>
      </c>
      <c r="AM41" s="213" t="s">
        <v>282</v>
      </c>
      <c r="AN41" s="213" t="s">
        <v>283</v>
      </c>
      <c r="AO41" s="213" t="s">
        <v>284</v>
      </c>
      <c r="AP41" s="213" t="s">
        <v>285</v>
      </c>
      <c r="AQ41" s="213" t="s">
        <v>286</v>
      </c>
      <c r="AR41" s="213" t="s">
        <v>287</v>
      </c>
      <c r="AS41" s="213" t="s">
        <v>288</v>
      </c>
      <c r="AT41" s="213" t="s">
        <v>289</v>
      </c>
      <c r="AU41" s="212" t="s">
        <v>290</v>
      </c>
    </row>
    <row r="42" spans="2:47" ht="30" hidden="1">
      <c r="B42" s="173" t="s">
        <v>40</v>
      </c>
      <c r="C42" s="172" t="s">
        <v>41</v>
      </c>
      <c r="D42" s="172" t="s">
        <v>42</v>
      </c>
      <c r="E42" s="172" t="s">
        <v>43</v>
      </c>
      <c r="F42" s="184" t="s">
        <v>46</v>
      </c>
      <c r="G42" s="157"/>
      <c r="H42" s="211" t="s">
        <v>40</v>
      </c>
      <c r="I42" s="210" t="s">
        <v>41</v>
      </c>
      <c r="J42" s="210" t="s">
        <v>44</v>
      </c>
      <c r="K42" s="210" t="s">
        <v>45</v>
      </c>
      <c r="L42" s="209" t="s">
        <v>46</v>
      </c>
      <c r="M42" s="193"/>
      <c r="N42" s="173" t="s">
        <v>40</v>
      </c>
      <c r="O42" s="172" t="s">
        <v>41</v>
      </c>
      <c r="P42" s="172" t="s">
        <v>44</v>
      </c>
      <c r="Q42" s="172" t="s">
        <v>47</v>
      </c>
      <c r="R42" s="171" t="s">
        <v>46</v>
      </c>
      <c r="S42" s="193"/>
      <c r="T42" s="152" t="s">
        <v>291</v>
      </c>
      <c r="U42" s="151" t="s">
        <v>48</v>
      </c>
      <c r="V42" s="151">
        <v>60</v>
      </c>
      <c r="W42" s="151">
        <v>96</v>
      </c>
      <c r="X42" s="207">
        <v>1</v>
      </c>
      <c r="Y42" s="207">
        <v>48</v>
      </c>
      <c r="Z42" s="207">
        <v>128</v>
      </c>
      <c r="AA42" s="207">
        <v>4</v>
      </c>
      <c r="AB42" s="151">
        <v>5376</v>
      </c>
      <c r="AC42" s="151">
        <v>1</v>
      </c>
      <c r="AD42" s="151">
        <v>5376</v>
      </c>
      <c r="AE42" s="151">
        <v>5184</v>
      </c>
      <c r="AF42" s="207">
        <f>ROUNDUP((7*$Q$44/$Q$43)*1000,0)+ROUNDUP(11*$Q$56,0)</f>
        <v>36000</v>
      </c>
      <c r="AG42" s="207">
        <f>ROUNDUP((7*$Q$60/$Q$43)*1000,0)+ROUNDUP(11*$Q$61,0)</f>
        <v>36000</v>
      </c>
      <c r="AH42" s="206">
        <v>124</v>
      </c>
      <c r="AI42" s="206">
        <v>1</v>
      </c>
      <c r="AJ42" s="206">
        <v>3</v>
      </c>
      <c r="AK42" s="206">
        <v>742</v>
      </c>
      <c r="AL42" s="206">
        <v>6</v>
      </c>
      <c r="AM42" s="206">
        <v>14</v>
      </c>
      <c r="AN42" s="151">
        <v>1</v>
      </c>
      <c r="AO42" s="151" t="s">
        <v>292</v>
      </c>
      <c r="AP42" s="151">
        <v>10000</v>
      </c>
      <c r="AQ42" s="206">
        <v>5120</v>
      </c>
      <c r="AR42" s="206">
        <v>5120</v>
      </c>
      <c r="AS42" s="206">
        <v>150</v>
      </c>
      <c r="AT42" s="151">
        <v>1</v>
      </c>
      <c r="AU42" s="205">
        <v>1</v>
      </c>
    </row>
    <row r="43" spans="2:47" ht="30" hidden="1">
      <c r="B43" s="355" t="s">
        <v>51</v>
      </c>
      <c r="C43" s="356"/>
      <c r="D43" s="356"/>
      <c r="E43" s="356"/>
      <c r="F43" s="357"/>
      <c r="G43" s="157"/>
      <c r="H43" s="155" t="s">
        <v>52</v>
      </c>
      <c r="I43" s="154" t="s">
        <v>53</v>
      </c>
      <c r="J43" s="143" t="s">
        <v>293</v>
      </c>
      <c r="K43" s="208">
        <f>Q61</f>
        <v>2000</v>
      </c>
      <c r="L43" s="147" t="s">
        <v>55</v>
      </c>
      <c r="M43" s="193"/>
      <c r="N43" s="155" t="s">
        <v>56</v>
      </c>
      <c r="O43" s="154" t="s">
        <v>57</v>
      </c>
      <c r="P43" s="154" t="s">
        <v>58</v>
      </c>
      <c r="Q43" s="153">
        <f>VLOOKUP($D$40,$T$42:$AU$49,4,FALSE)</f>
        <v>90</v>
      </c>
      <c r="R43" s="147" t="s">
        <v>59</v>
      </c>
      <c r="S43" s="193"/>
      <c r="T43" s="152" t="s">
        <v>263</v>
      </c>
      <c r="U43" s="151" t="s">
        <v>294</v>
      </c>
      <c r="V43" s="151">
        <v>60</v>
      </c>
      <c r="W43" s="151">
        <v>80</v>
      </c>
      <c r="X43" s="207">
        <v>3</v>
      </c>
      <c r="Y43" s="207">
        <v>38</v>
      </c>
      <c r="Z43" s="207">
        <v>82</v>
      </c>
      <c r="AA43" s="207">
        <v>4</v>
      </c>
      <c r="AB43" s="151">
        <v>16720</v>
      </c>
      <c r="AC43" s="151">
        <v>1</v>
      </c>
      <c r="AD43" s="151">
        <v>16720</v>
      </c>
      <c r="AE43" s="151">
        <v>9256</v>
      </c>
      <c r="AF43" s="207">
        <f>ROUNDUP((6*$Q$44/$Q$43)*1000,0)+ROUNDUP(201*$Q$56,0)</f>
        <v>414000</v>
      </c>
      <c r="AG43" s="207">
        <f>ROUNDUP((6*$Q$60/$Q$43)*1000,0)+ROUNDUP(201*$Q$61,0)</f>
        <v>414000</v>
      </c>
      <c r="AH43" s="206">
        <v>260</v>
      </c>
      <c r="AI43" s="206">
        <v>2</v>
      </c>
      <c r="AJ43" s="206">
        <v>3</v>
      </c>
      <c r="AK43" s="206">
        <v>1500</v>
      </c>
      <c r="AL43" s="206">
        <v>8</v>
      </c>
      <c r="AM43" s="206">
        <v>10</v>
      </c>
      <c r="AN43" s="151">
        <v>1</v>
      </c>
      <c r="AO43" s="151" t="s">
        <v>295</v>
      </c>
      <c r="AP43" s="151">
        <v>60000</v>
      </c>
      <c r="AQ43" s="206">
        <v>16544</v>
      </c>
      <c r="AR43" s="206">
        <v>9200</v>
      </c>
      <c r="AS43" s="206">
        <v>16</v>
      </c>
      <c r="AT43" s="151">
        <v>1</v>
      </c>
      <c r="AU43" s="205">
        <v>1</v>
      </c>
    </row>
    <row r="44" spans="2:47" ht="330" hidden="1">
      <c r="B44" s="155" t="s">
        <v>60</v>
      </c>
      <c r="C44" s="154" t="s">
        <v>51</v>
      </c>
      <c r="D44" s="154" t="str">
        <f>VLOOKUP($D$40,$T$42:$AU$49,22,FALSE)</f>
        <v>像素格式(8/10)</v>
      </c>
      <c r="E44" s="179">
        <f>B12</f>
        <v>8</v>
      </c>
      <c r="F44" s="178" t="s">
        <v>66</v>
      </c>
      <c r="G44" s="157"/>
      <c r="H44" s="155" t="s">
        <v>61</v>
      </c>
      <c r="I44" s="154" t="s">
        <v>62</v>
      </c>
      <c r="J44" s="143" t="s">
        <v>296</v>
      </c>
      <c r="K44" s="208">
        <f>IF(E52=1,IF(E46="TriggerWidth",MAX(K47,K58,K49),MAX(K47,K48,K49)+K56),MAX(K47,K48,K49,K50)+K56)</f>
        <v>14066</v>
      </c>
      <c r="L44" s="147" t="s">
        <v>64</v>
      </c>
      <c r="N44" s="155" t="s">
        <v>297</v>
      </c>
      <c r="O44" s="154" t="s">
        <v>65</v>
      </c>
      <c r="P44" s="154" t="s">
        <v>58</v>
      </c>
      <c r="Q44" s="153">
        <f>VLOOKUP($D$40,$T$42:$AU$49,15,FALSE)</f>
        <v>180</v>
      </c>
      <c r="R44" s="147" t="s">
        <v>298</v>
      </c>
      <c r="T44" s="152" t="s">
        <v>299</v>
      </c>
      <c r="U44" s="151" t="s">
        <v>300</v>
      </c>
      <c r="V44" s="151">
        <v>50</v>
      </c>
      <c r="W44" s="151">
        <v>90</v>
      </c>
      <c r="X44" s="207">
        <v>1</v>
      </c>
      <c r="Y44" s="207">
        <v>56</v>
      </c>
      <c r="Z44" s="207">
        <v>88</v>
      </c>
      <c r="AA44" s="207">
        <v>4</v>
      </c>
      <c r="AB44" s="151">
        <v>9520</v>
      </c>
      <c r="AC44" s="151">
        <v>1</v>
      </c>
      <c r="AD44" s="151">
        <v>9520</v>
      </c>
      <c r="AE44" s="151">
        <v>7056</v>
      </c>
      <c r="AF44" s="207">
        <f>ROUNDUP((6*$Q$44/$Q$43)*1000,0)+ROUNDUP(11*$Q$56,0)</f>
        <v>34000</v>
      </c>
      <c r="AG44" s="207">
        <f>ROUNDUP((6*$Q$60/$Q$43)*1000,0)+ROUNDUP(11*$Q$61,0)</f>
        <v>34000</v>
      </c>
      <c r="AH44" s="206">
        <v>180</v>
      </c>
      <c r="AI44" s="206">
        <v>1</v>
      </c>
      <c r="AJ44" s="206">
        <v>3</v>
      </c>
      <c r="AK44" s="206">
        <v>1068</v>
      </c>
      <c r="AL44" s="206">
        <v>6</v>
      </c>
      <c r="AM44" s="206">
        <v>14</v>
      </c>
      <c r="AN44" s="151">
        <v>1</v>
      </c>
      <c r="AO44" s="151" t="s">
        <v>292</v>
      </c>
      <c r="AP44" s="151">
        <v>10000</v>
      </c>
      <c r="AQ44" s="206">
        <v>9344</v>
      </c>
      <c r="AR44" s="206">
        <v>7000</v>
      </c>
      <c r="AS44" s="206">
        <v>71</v>
      </c>
      <c r="AT44" s="151">
        <v>1</v>
      </c>
      <c r="AU44" s="205">
        <v>1</v>
      </c>
    </row>
    <row r="45" spans="2:47" ht="30.75" hidden="1" thickBot="1">
      <c r="B45" s="355" t="s">
        <v>67</v>
      </c>
      <c r="C45" s="356"/>
      <c r="D45" s="356"/>
      <c r="E45" s="356"/>
      <c r="F45" s="357"/>
      <c r="G45" s="157"/>
      <c r="H45" s="155" t="s">
        <v>68</v>
      </c>
      <c r="I45" s="154" t="s">
        <v>7</v>
      </c>
      <c r="J45" s="143" t="s">
        <v>69</v>
      </c>
      <c r="K45" s="204">
        <f>1000000/K44</f>
        <v>71.093416749608991</v>
      </c>
      <c r="L45" s="147" t="s">
        <v>70</v>
      </c>
      <c r="N45" s="155" t="s">
        <v>301</v>
      </c>
      <c r="O45" s="154" t="s">
        <v>302</v>
      </c>
      <c r="P45" s="154" t="s">
        <v>58</v>
      </c>
      <c r="Q45" s="153">
        <f>VLOOKUP($D$40,$T$42:$AU$49,13,FALSE)</f>
        <v>34000</v>
      </c>
      <c r="R45" s="147" t="s">
        <v>55</v>
      </c>
      <c r="T45" s="203" t="s">
        <v>303</v>
      </c>
      <c r="U45" s="201" t="s">
        <v>300</v>
      </c>
      <c r="V45" s="201">
        <v>60</v>
      </c>
      <c r="W45" s="201">
        <v>80</v>
      </c>
      <c r="X45" s="201">
        <v>1</v>
      </c>
      <c r="Y45" s="201">
        <v>28</v>
      </c>
      <c r="Z45" s="202">
        <v>88</v>
      </c>
      <c r="AA45" s="201">
        <v>4</v>
      </c>
      <c r="AB45" s="199">
        <v>9520</v>
      </c>
      <c r="AC45" s="199">
        <v>1</v>
      </c>
      <c r="AD45" s="199">
        <v>9520</v>
      </c>
      <c r="AE45" s="199">
        <v>7056</v>
      </c>
      <c r="AF45" s="200">
        <f>ROUNDUP((6*$Q$44/$Q$43)*1000,0)+ROUNDUP(11*$Q$56,0)</f>
        <v>34000</v>
      </c>
      <c r="AG45" s="200">
        <f>ROUNDUP((6*$Q$60/$Q$43)*1000,0)+ROUNDUP(11*$Q$61,0)</f>
        <v>34000</v>
      </c>
      <c r="AH45" s="199">
        <v>180</v>
      </c>
      <c r="AI45" s="199">
        <v>2</v>
      </c>
      <c r="AJ45" s="199">
        <v>3</v>
      </c>
      <c r="AK45" s="199">
        <v>1068</v>
      </c>
      <c r="AL45" s="199">
        <v>6</v>
      </c>
      <c r="AM45" s="199">
        <v>14</v>
      </c>
      <c r="AN45" s="199">
        <v>1</v>
      </c>
      <c r="AO45" s="199" t="s">
        <v>295</v>
      </c>
      <c r="AP45" s="199">
        <v>30000</v>
      </c>
      <c r="AQ45" s="199">
        <v>9344</v>
      </c>
      <c r="AR45" s="199">
        <v>7000</v>
      </c>
      <c r="AS45" s="199">
        <v>31</v>
      </c>
      <c r="AT45" s="199">
        <v>1</v>
      </c>
      <c r="AU45" s="198">
        <v>1</v>
      </c>
    </row>
    <row r="46" spans="2:47" ht="30" hidden="1">
      <c r="B46" s="155" t="s">
        <v>304</v>
      </c>
      <c r="C46" s="154" t="s">
        <v>305</v>
      </c>
      <c r="D46" s="154" t="s">
        <v>306</v>
      </c>
      <c r="E46" s="179" t="s">
        <v>306</v>
      </c>
      <c r="F46" s="160" t="s">
        <v>66</v>
      </c>
      <c r="G46" s="157"/>
      <c r="H46" s="355" t="s">
        <v>74</v>
      </c>
      <c r="I46" s="356"/>
      <c r="J46" s="356"/>
      <c r="K46" s="356"/>
      <c r="L46" s="357"/>
      <c r="N46" s="155" t="s">
        <v>307</v>
      </c>
      <c r="O46" s="154" t="s">
        <v>308</v>
      </c>
      <c r="P46" s="154" t="s">
        <v>58</v>
      </c>
      <c r="Q46" s="153">
        <f>VLOOKUP($D$40,$T$42:$AU$49,14,FALSE)</f>
        <v>34000</v>
      </c>
      <c r="R46" s="147" t="s">
        <v>55</v>
      </c>
      <c r="T46" s="193"/>
      <c r="U46" s="193"/>
      <c r="V46" s="193"/>
      <c r="W46" s="193"/>
      <c r="X46" s="193"/>
      <c r="Y46" s="193"/>
      <c r="Z46" s="196"/>
      <c r="AA46" s="196"/>
    </row>
    <row r="47" spans="2:47" ht="30" hidden="1">
      <c r="B47" s="197" t="str">
        <f>"交叠曝光时间
(0-"&amp;D47&amp;")"</f>
        <v>交叠曝光时间
(0-14032)</v>
      </c>
      <c r="C47" s="154" t="s">
        <v>309</v>
      </c>
      <c r="D47" s="154">
        <f>K47-ROUNDUP(Q46/1000,0)</f>
        <v>14032</v>
      </c>
      <c r="E47" s="179">
        <v>31572</v>
      </c>
      <c r="F47" s="160" t="s">
        <v>64</v>
      </c>
      <c r="G47" s="157"/>
      <c r="H47" s="155" t="s">
        <v>79</v>
      </c>
      <c r="I47" s="154" t="s">
        <v>80</v>
      </c>
      <c r="J47" s="143" t="s">
        <v>310</v>
      </c>
      <c r="K47" s="142">
        <f>Q62</f>
        <v>14066</v>
      </c>
      <c r="L47" s="194" t="s">
        <v>64</v>
      </c>
      <c r="N47" s="155" t="s">
        <v>311</v>
      </c>
      <c r="O47" s="154" t="s">
        <v>312</v>
      </c>
      <c r="P47" s="154" t="s">
        <v>58</v>
      </c>
      <c r="Q47" s="153">
        <f>VLOOKUP($D$40,$T$42:$AU$49,16,FALSE)</f>
        <v>1</v>
      </c>
      <c r="R47" s="147" t="s">
        <v>66</v>
      </c>
      <c r="T47" s="193"/>
      <c r="U47" s="193"/>
      <c r="V47" s="193"/>
      <c r="W47" s="193"/>
      <c r="X47" s="193"/>
      <c r="Y47" s="193"/>
      <c r="Z47" s="196"/>
      <c r="AA47" s="196"/>
    </row>
    <row r="48" spans="2:47" ht="90" hidden="1">
      <c r="B48" s="154" t="s">
        <v>67</v>
      </c>
      <c r="C48" s="154" t="s">
        <v>313</v>
      </c>
      <c r="D48" s="154">
        <f>VLOOKUP($D$40,$T$42:$AU$49,23,FALSE)</f>
        <v>10000</v>
      </c>
      <c r="E48" s="179">
        <f>B10</f>
        <v>10000</v>
      </c>
      <c r="F48" s="160" t="s">
        <v>64</v>
      </c>
      <c r="G48" s="157"/>
      <c r="H48" s="155" t="s">
        <v>87</v>
      </c>
      <c r="I48" s="154" t="s">
        <v>88</v>
      </c>
      <c r="J48" s="143" t="s">
        <v>314</v>
      </c>
      <c r="K48" s="159">
        <f>ROUNDUP(E48-Q50/Q43+(Q49+Q54)*K43/1000+E49+Q46/1000,0)</f>
        <v>10031</v>
      </c>
      <c r="L48" s="194" t="s">
        <v>64</v>
      </c>
      <c r="N48" s="155" t="s">
        <v>315</v>
      </c>
      <c r="O48" s="154" t="s">
        <v>316</v>
      </c>
      <c r="P48" s="154" t="s">
        <v>58</v>
      </c>
      <c r="Q48" s="153">
        <f>VLOOKUP($D$40,$T$42:$AU$49,20,FALSE)</f>
        <v>14</v>
      </c>
      <c r="R48" s="147" t="s">
        <v>317</v>
      </c>
      <c r="T48" s="193"/>
      <c r="U48" s="193"/>
      <c r="V48" s="193"/>
      <c r="W48" s="193"/>
      <c r="X48" s="193"/>
      <c r="Y48" s="193"/>
      <c r="Z48" s="196"/>
      <c r="AA48" s="196"/>
    </row>
    <row r="49" spans="2:24" ht="60" hidden="1">
      <c r="B49" s="154" t="s">
        <v>78</v>
      </c>
      <c r="C49" s="154" t="s">
        <v>318</v>
      </c>
      <c r="D49" s="154">
        <v>0</v>
      </c>
      <c r="E49" s="179">
        <f>B11</f>
        <v>0</v>
      </c>
      <c r="F49" s="160" t="s">
        <v>64</v>
      </c>
      <c r="G49" s="157"/>
      <c r="H49" s="155" t="s">
        <v>93</v>
      </c>
      <c r="I49" s="154" t="s">
        <v>94</v>
      </c>
      <c r="J49" s="154" t="s">
        <v>95</v>
      </c>
      <c r="K49" s="153">
        <f>ROUNDUP((1000000/E67)*E66,0)</f>
        <v>0</v>
      </c>
      <c r="L49" s="147" t="s">
        <v>64</v>
      </c>
      <c r="N49" s="155" t="s">
        <v>319</v>
      </c>
      <c r="O49" s="154" t="s">
        <v>320</v>
      </c>
      <c r="P49" s="154" t="s">
        <v>58</v>
      </c>
      <c r="Q49" s="153">
        <f>VLOOKUP($D$40,$T$42:$AU$49,17,FALSE)</f>
        <v>3</v>
      </c>
      <c r="R49" s="147" t="s">
        <v>317</v>
      </c>
    </row>
    <row r="50" spans="2:24" ht="90" hidden="1">
      <c r="B50" s="139" t="s">
        <v>321</v>
      </c>
      <c r="C50" s="143" t="s">
        <v>322</v>
      </c>
      <c r="D50" s="143" t="s">
        <v>66</v>
      </c>
      <c r="E50" s="179">
        <v>60000</v>
      </c>
      <c r="F50" s="160" t="s">
        <v>64</v>
      </c>
      <c r="G50" s="157"/>
      <c r="H50" s="155" t="s">
        <v>97</v>
      </c>
      <c r="I50" s="154" t="s">
        <v>323</v>
      </c>
      <c r="J50" s="154" t="s">
        <v>324</v>
      </c>
      <c r="K50" s="153">
        <f>E63*Q87</f>
        <v>0</v>
      </c>
      <c r="L50" s="147" t="s">
        <v>64</v>
      </c>
      <c r="N50" s="155" t="s">
        <v>325</v>
      </c>
      <c r="O50" s="154" t="s">
        <v>326</v>
      </c>
      <c r="P50" s="154" t="s">
        <v>58</v>
      </c>
      <c r="Q50" s="153">
        <f>VLOOKUP($D$40,$T$42:$AU$49,18,FALSE)</f>
        <v>1068</v>
      </c>
      <c r="R50" s="147" t="s">
        <v>327</v>
      </c>
    </row>
    <row r="51" spans="2:24" ht="30" hidden="1">
      <c r="B51" s="355" t="s">
        <v>328</v>
      </c>
      <c r="C51" s="356"/>
      <c r="D51" s="356"/>
      <c r="E51" s="356"/>
      <c r="F51" s="357"/>
      <c r="G51" s="157"/>
      <c r="H51" s="155" t="s">
        <v>329</v>
      </c>
      <c r="I51" s="143" t="s">
        <v>330</v>
      </c>
      <c r="J51" s="143" t="s">
        <v>331</v>
      </c>
      <c r="K51" s="153">
        <f>Q88</f>
        <v>13450</v>
      </c>
      <c r="L51" s="147" t="s">
        <v>64</v>
      </c>
      <c r="N51" s="155" t="s">
        <v>332</v>
      </c>
      <c r="O51" s="154" t="s">
        <v>333</v>
      </c>
      <c r="P51" s="154" t="s">
        <v>58</v>
      </c>
      <c r="Q51" s="153">
        <f>VLOOKUP($D$40,$T$42:$AU$49,19,FALSE)</f>
        <v>6</v>
      </c>
      <c r="R51" s="147" t="s">
        <v>317</v>
      </c>
    </row>
    <row r="52" spans="2:24" ht="30" hidden="1">
      <c r="B52" s="144" t="s">
        <v>334</v>
      </c>
      <c r="C52" s="143" t="s">
        <v>248</v>
      </c>
      <c r="D52" s="143">
        <v>0</v>
      </c>
      <c r="E52" s="161">
        <f>B14</f>
        <v>0</v>
      </c>
      <c r="F52" s="141" t="s">
        <v>66</v>
      </c>
      <c r="G52" s="157"/>
      <c r="H52" s="355" t="s">
        <v>335</v>
      </c>
      <c r="I52" s="356"/>
      <c r="J52" s="356"/>
      <c r="K52" s="356"/>
      <c r="L52" s="357"/>
      <c r="N52" s="155" t="s">
        <v>336</v>
      </c>
      <c r="O52" s="154" t="s">
        <v>337</v>
      </c>
      <c r="P52" s="154" t="s">
        <v>58</v>
      </c>
      <c r="Q52" s="153">
        <f>VLOOKUP($D$40,$T$42:$AU$49,28,FALSE)</f>
        <v>1</v>
      </c>
      <c r="R52" s="147" t="s">
        <v>317</v>
      </c>
    </row>
    <row r="53" spans="2:24" ht="90" hidden="1">
      <c r="B53" s="154" t="s">
        <v>92</v>
      </c>
      <c r="C53" s="154" t="s">
        <v>338</v>
      </c>
      <c r="D53" s="154">
        <v>0</v>
      </c>
      <c r="E53" s="179">
        <v>0</v>
      </c>
      <c r="F53" s="178" t="s">
        <v>64</v>
      </c>
      <c r="G53" s="157"/>
      <c r="H53" s="144" t="s">
        <v>73</v>
      </c>
      <c r="I53" s="143" t="s">
        <v>339</v>
      </c>
      <c r="J53" s="143" t="s">
        <v>340</v>
      </c>
      <c r="K53" s="142">
        <f>ROUNDUP((1000*E48-1000*Q50/Q43)/1000,0)</f>
        <v>9989</v>
      </c>
      <c r="L53" s="194" t="s">
        <v>64</v>
      </c>
      <c r="N53" s="155" t="s">
        <v>341</v>
      </c>
      <c r="O53" s="154" t="s">
        <v>342</v>
      </c>
      <c r="P53" s="154" t="s">
        <v>58</v>
      </c>
      <c r="Q53" s="153">
        <f>VLOOKUP($D$40,$T$42:$AU$49,27,FALSE)</f>
        <v>1</v>
      </c>
      <c r="R53" s="195" t="s">
        <v>66</v>
      </c>
      <c r="S53" s="193"/>
    </row>
    <row r="54" spans="2:24" ht="30" hidden="1">
      <c r="B54" s="355" t="s">
        <v>343</v>
      </c>
      <c r="C54" s="356"/>
      <c r="D54" s="356"/>
      <c r="E54" s="356"/>
      <c r="F54" s="357"/>
      <c r="G54" s="157"/>
      <c r="H54" s="144" t="s">
        <v>344</v>
      </c>
      <c r="I54" s="143" t="s">
        <v>345</v>
      </c>
      <c r="J54" s="143" t="s">
        <v>318</v>
      </c>
      <c r="K54" s="142">
        <f>E49</f>
        <v>0</v>
      </c>
      <c r="L54" s="194" t="s">
        <v>64</v>
      </c>
      <c r="N54" s="155" t="s">
        <v>346</v>
      </c>
      <c r="O54" s="154" t="s">
        <v>347</v>
      </c>
      <c r="P54" s="154" t="s">
        <v>58</v>
      </c>
      <c r="Q54" s="153">
        <f>VLOOKUP($D$40,$T$42:$AU$49,21,FALSE)</f>
        <v>1</v>
      </c>
      <c r="R54" s="147" t="s">
        <v>317</v>
      </c>
      <c r="S54" s="193"/>
    </row>
    <row r="55" spans="2:24" ht="195" hidden="1">
      <c r="B55" s="155" t="s">
        <v>348</v>
      </c>
      <c r="C55" s="154" t="s">
        <v>349</v>
      </c>
      <c r="D55" s="154">
        <v>0</v>
      </c>
      <c r="E55" s="179">
        <v>0</v>
      </c>
      <c r="F55" s="178" t="s">
        <v>298</v>
      </c>
      <c r="G55" s="157"/>
      <c r="H55" s="144" t="s">
        <v>350</v>
      </c>
      <c r="I55" s="143" t="s">
        <v>351</v>
      </c>
      <c r="J55" s="143" t="s">
        <v>352</v>
      </c>
      <c r="K55" s="159">
        <f>IF(Q53=1,IF((MAX(K47,K48,K49,K51)-K53)&lt;K47,(IF((MAX(K47,K48,K49,K51)-K53)&gt;=(K47-ROUNDUP(Q51*K43/1000,0)),1,0)),0),0)</f>
        <v>0</v>
      </c>
      <c r="L55" s="145" t="s">
        <v>66</v>
      </c>
      <c r="N55" s="355" t="s">
        <v>353</v>
      </c>
      <c r="O55" s="356"/>
      <c r="P55" s="356"/>
      <c r="Q55" s="356"/>
      <c r="R55" s="357"/>
      <c r="S55" s="193"/>
      <c r="T55" s="367" t="s">
        <v>354</v>
      </c>
      <c r="U55" s="368"/>
      <c r="V55" s="368"/>
      <c r="W55" s="368"/>
      <c r="X55" s="369"/>
    </row>
    <row r="56" spans="2:24" ht="90" hidden="1">
      <c r="B56" s="144" t="s">
        <v>355</v>
      </c>
      <c r="C56" s="143" t="s">
        <v>356</v>
      </c>
      <c r="D56" s="143">
        <v>0</v>
      </c>
      <c r="E56" s="161">
        <v>0</v>
      </c>
      <c r="F56" s="160" t="s">
        <v>298</v>
      </c>
      <c r="G56" s="157"/>
      <c r="H56" s="144" t="s">
        <v>357</v>
      </c>
      <c r="I56" s="143" t="s">
        <v>358</v>
      </c>
      <c r="J56" s="143" t="s">
        <v>359</v>
      </c>
      <c r="K56" s="142">
        <f>IF(K55=1,K47-(MAX(K47,K48,K49,K51)-K53),0)</f>
        <v>0</v>
      </c>
      <c r="L56" s="145" t="s">
        <v>64</v>
      </c>
      <c r="N56" s="155" t="s">
        <v>360</v>
      </c>
      <c r="O56" s="154" t="s">
        <v>361</v>
      </c>
      <c r="P56" s="154" t="s">
        <v>362</v>
      </c>
      <c r="Q56" s="153">
        <f>ROUNDUP(1000*Q47*Q44/Q43,0)</f>
        <v>2000</v>
      </c>
      <c r="R56" s="147" t="s">
        <v>55</v>
      </c>
      <c r="T56" s="173" t="s">
        <v>152</v>
      </c>
      <c r="U56" s="172" t="s">
        <v>154</v>
      </c>
      <c r="V56" s="172" t="s">
        <v>41</v>
      </c>
      <c r="W56" s="172" t="s">
        <v>44</v>
      </c>
      <c r="X56" s="184" t="s">
        <v>155</v>
      </c>
    </row>
    <row r="57" spans="2:24" ht="75" hidden="1">
      <c r="B57" s="144" t="s">
        <v>363</v>
      </c>
      <c r="C57" s="143" t="s">
        <v>238</v>
      </c>
      <c r="D57" s="143">
        <f>VLOOKUP($D$40,$T$42:$AU$49,24,FALSE)</f>
        <v>9344</v>
      </c>
      <c r="E57" s="161">
        <f>B4</f>
        <v>9344</v>
      </c>
      <c r="F57" s="160" t="s">
        <v>298</v>
      </c>
      <c r="G57" s="157"/>
      <c r="H57" s="355" t="s">
        <v>364</v>
      </c>
      <c r="I57" s="356"/>
      <c r="J57" s="356"/>
      <c r="K57" s="356"/>
      <c r="L57" s="357"/>
      <c r="N57" s="155" t="s">
        <v>365</v>
      </c>
      <c r="O57" s="154" t="s">
        <v>366</v>
      </c>
      <c r="P57" s="154" t="s">
        <v>367</v>
      </c>
      <c r="Q57" s="159">
        <f>INT((E58*E73*Q56)/1000)</f>
        <v>14000</v>
      </c>
      <c r="R57" s="147" t="s">
        <v>64</v>
      </c>
      <c r="T57" s="183" t="s">
        <v>368</v>
      </c>
      <c r="U57" s="151" t="s">
        <v>369</v>
      </c>
      <c r="V57" s="181" t="s">
        <v>370</v>
      </c>
      <c r="W57" s="154" t="s">
        <v>318</v>
      </c>
      <c r="X57" s="141" t="str">
        <f>DEC2HEX(E49)</f>
        <v>0</v>
      </c>
    </row>
    <row r="58" spans="2:24" ht="225" hidden="1">
      <c r="B58" s="144" t="s">
        <v>371</v>
      </c>
      <c r="C58" s="143" t="s">
        <v>239</v>
      </c>
      <c r="D58" s="143">
        <f>VLOOKUP($D$40,$T$42:$AU$49,25,FALSE)</f>
        <v>7000</v>
      </c>
      <c r="E58" s="161">
        <f>B5</f>
        <v>7000</v>
      </c>
      <c r="F58" s="160" t="s">
        <v>298</v>
      </c>
      <c r="H58" s="144" t="s">
        <v>372</v>
      </c>
      <c r="I58" s="143" t="s">
        <v>373</v>
      </c>
      <c r="J58" s="143" t="s">
        <v>374</v>
      </c>
      <c r="K58" s="142" t="str">
        <f>IF(AND(E52=1,E46="TriggerWidth"),ROUNDUP(Q62+IF(E50&gt;E47,E50-E47,0)+Q54*Q61/1000,0),"null")</f>
        <v>null</v>
      </c>
      <c r="L58" s="145" t="s">
        <v>64</v>
      </c>
      <c r="N58" s="155" t="s">
        <v>375</v>
      </c>
      <c r="O58" s="154" t="s">
        <v>376</v>
      </c>
      <c r="P58" s="154" t="s">
        <v>377</v>
      </c>
      <c r="Q58" s="153">
        <f>IF(K51&lt;=Q57,0,K51-Q57)</f>
        <v>0</v>
      </c>
      <c r="R58" s="147" t="s">
        <v>64</v>
      </c>
      <c r="T58" s="192" t="s">
        <v>378</v>
      </c>
      <c r="U58" s="151" t="s">
        <v>379</v>
      </c>
      <c r="V58" s="181" t="s">
        <v>380</v>
      </c>
      <c r="W58" s="154" t="s">
        <v>73</v>
      </c>
      <c r="X58" s="191" t="str">
        <f>DEC2HEX(K53)</f>
        <v>2705</v>
      </c>
    </row>
    <row r="59" spans="2:24" ht="330" hidden="1">
      <c r="B59" s="355" t="s">
        <v>381</v>
      </c>
      <c r="C59" s="356"/>
      <c r="D59" s="356"/>
      <c r="E59" s="356"/>
      <c r="F59" s="357"/>
      <c r="H59" s="144" t="s">
        <v>382</v>
      </c>
      <c r="I59" s="143" t="s">
        <v>383</v>
      </c>
      <c r="J59" s="143" t="s">
        <v>384</v>
      </c>
      <c r="K59" s="142" t="str">
        <f>IF(AND(E52=1,E46="TriggerWidth"),ROUNDUP(IF(E50&gt;E47,E50-K43*Q49/1000+Q50/Q43,E47-K43*Q49/1000+Q50/Q43),0),"null")</f>
        <v>null</v>
      </c>
      <c r="L59" s="145" t="s">
        <v>64</v>
      </c>
      <c r="N59" s="155" t="s">
        <v>385</v>
      </c>
      <c r="O59" s="154" t="s">
        <v>386</v>
      </c>
      <c r="P59" s="154" t="s">
        <v>387</v>
      </c>
      <c r="Q59" s="153">
        <f>ROUNDUP(1000*Q58/(E58*E73),0)</f>
        <v>0</v>
      </c>
      <c r="R59" s="147" t="s">
        <v>55</v>
      </c>
      <c r="T59" s="192" t="s">
        <v>388</v>
      </c>
      <c r="U59" s="151" t="s">
        <v>389</v>
      </c>
      <c r="V59" s="181" t="s">
        <v>390</v>
      </c>
      <c r="W59" s="154" t="s">
        <v>79</v>
      </c>
      <c r="X59" s="191" t="str">
        <f>DEC2HEX(K47)</f>
        <v>36F2</v>
      </c>
    </row>
    <row r="60" spans="2:24" ht="105" hidden="1">
      <c r="B60" s="144" t="s">
        <v>391</v>
      </c>
      <c r="C60" s="143" t="s">
        <v>251</v>
      </c>
      <c r="D60" s="162" t="s">
        <v>66</v>
      </c>
      <c r="E60" s="161">
        <f>B17</f>
        <v>12.5</v>
      </c>
      <c r="F60" s="160" t="s">
        <v>392</v>
      </c>
      <c r="H60" s="355" t="s">
        <v>393</v>
      </c>
      <c r="I60" s="356"/>
      <c r="J60" s="356"/>
      <c r="K60" s="356"/>
      <c r="L60" s="357"/>
      <c r="N60" s="155" t="s">
        <v>65</v>
      </c>
      <c r="O60" s="154" t="s">
        <v>394</v>
      </c>
      <c r="P60" s="154" t="s">
        <v>395</v>
      </c>
      <c r="Q60" s="153">
        <f>ROUNDUP((ROUNDUP(Q59*Q43/Q47/1000,0)+Q44)/4,0)*4</f>
        <v>180</v>
      </c>
      <c r="R60" s="147" t="s">
        <v>298</v>
      </c>
      <c r="T60" s="192" t="s">
        <v>396</v>
      </c>
      <c r="U60" s="151" t="s">
        <v>397</v>
      </c>
      <c r="V60" s="181" t="s">
        <v>398</v>
      </c>
      <c r="W60" s="154" t="s">
        <v>399</v>
      </c>
      <c r="X60" s="191" t="str">
        <f>DEC2HEX(MAX(K47,K48,K49,K50))</f>
        <v>36F2</v>
      </c>
    </row>
    <row r="61" spans="2:24" ht="75" hidden="1">
      <c r="B61" s="144" t="s">
        <v>400</v>
      </c>
      <c r="C61" s="143" t="s">
        <v>252</v>
      </c>
      <c r="D61" s="162" t="s">
        <v>66</v>
      </c>
      <c r="E61" s="161">
        <f>B18</f>
        <v>4</v>
      </c>
      <c r="F61" s="160" t="s">
        <v>66</v>
      </c>
      <c r="H61" s="144" t="s">
        <v>401</v>
      </c>
      <c r="I61" s="143" t="s">
        <v>402</v>
      </c>
      <c r="J61" s="143" t="s">
        <v>403</v>
      </c>
      <c r="K61" s="142">
        <f>K45*4*Q76*E58/1000000</f>
        <v>4650.0782027584246</v>
      </c>
      <c r="L61" s="141" t="s">
        <v>141</v>
      </c>
      <c r="N61" s="155" t="s">
        <v>293</v>
      </c>
      <c r="O61" s="154" t="s">
        <v>404</v>
      </c>
      <c r="P61" s="154" t="s">
        <v>405</v>
      </c>
      <c r="Q61" s="153">
        <f>ROUNDUP(1000*Q47*Q60/Q43,0)</f>
        <v>2000</v>
      </c>
      <c r="R61" s="147" t="s">
        <v>55</v>
      </c>
      <c r="T61" s="192" t="s">
        <v>406</v>
      </c>
      <c r="U61" s="151" t="s">
        <v>407</v>
      </c>
      <c r="V61" s="181" t="s">
        <v>408</v>
      </c>
      <c r="W61" s="154" t="s">
        <v>409</v>
      </c>
      <c r="X61" s="191" t="str">
        <f>DEC2HEX(MAX(K47,K48,K49))</f>
        <v>36F2</v>
      </c>
    </row>
    <row r="62" spans="2:24" ht="90" hidden="1">
      <c r="B62" s="144" t="s">
        <v>410</v>
      </c>
      <c r="C62" s="143" t="s">
        <v>247</v>
      </c>
      <c r="D62" s="162">
        <v>16384</v>
      </c>
      <c r="E62" s="161">
        <f>B13</f>
        <v>8192</v>
      </c>
      <c r="F62" s="160" t="s">
        <v>116</v>
      </c>
      <c r="H62" s="190" t="s">
        <v>411</v>
      </c>
      <c r="I62" s="189" t="s">
        <v>412</v>
      </c>
      <c r="J62" s="143" t="s">
        <v>413</v>
      </c>
      <c r="K62" s="142">
        <f>4*K45*Q82/1000000</f>
        <v>4681.4449026020193</v>
      </c>
      <c r="L62" s="141" t="s">
        <v>141</v>
      </c>
      <c r="N62" s="155" t="s">
        <v>310</v>
      </c>
      <c r="O62" s="154" t="s">
        <v>414</v>
      </c>
      <c r="P62" s="154" t="s">
        <v>415</v>
      </c>
      <c r="Q62" s="153">
        <f>ROUNDUP(((E58*E73+Q48+Q52+Q54)*Q61+Q46)/1000,0)</f>
        <v>14066</v>
      </c>
      <c r="R62" s="147" t="s">
        <v>64</v>
      </c>
      <c r="T62" s="192" t="s">
        <v>416</v>
      </c>
      <c r="U62" s="151" t="s">
        <v>417</v>
      </c>
      <c r="V62" s="181" t="s">
        <v>418</v>
      </c>
      <c r="W62" s="154" t="s">
        <v>419</v>
      </c>
      <c r="X62" s="191" t="str">
        <f>DEC2HEX(MAX(K47,K48))</f>
        <v>36F2</v>
      </c>
    </row>
    <row r="63" spans="2:24" ht="39" hidden="1" customHeight="1">
      <c r="B63" s="144" t="s">
        <v>420</v>
      </c>
      <c r="C63" s="143" t="s">
        <v>253</v>
      </c>
      <c r="D63" s="162">
        <v>0</v>
      </c>
      <c r="E63" s="179">
        <f>B19</f>
        <v>0</v>
      </c>
      <c r="F63" s="160" t="s">
        <v>66</v>
      </c>
      <c r="H63" s="190" t="s">
        <v>421</v>
      </c>
      <c r="I63" s="189" t="s">
        <v>422</v>
      </c>
      <c r="J63" s="143" t="s">
        <v>423</v>
      </c>
      <c r="K63" s="142">
        <f>E61*E60*8*1000*(100-E76)/100/10/8</f>
        <v>4950</v>
      </c>
      <c r="L63" s="141" t="s">
        <v>141</v>
      </c>
      <c r="N63" s="370" t="s">
        <v>424</v>
      </c>
      <c r="O63" s="371"/>
      <c r="P63" s="371"/>
      <c r="Q63" s="371"/>
      <c r="R63" s="372"/>
      <c r="T63" s="183" t="s">
        <v>425</v>
      </c>
      <c r="U63" s="151" t="s">
        <v>426</v>
      </c>
      <c r="V63" s="181" t="s">
        <v>427</v>
      </c>
      <c r="W63" s="154" t="s">
        <v>428</v>
      </c>
      <c r="X63" s="141" t="str">
        <f>DEC2HEX(IF(Q53=1,ROUNDUP(6*K43/1000,0),0))</f>
        <v>C</v>
      </c>
    </row>
    <row r="64" spans="2:24" ht="36.75" hidden="1" customHeight="1">
      <c r="B64" s="144" t="s">
        <v>429</v>
      </c>
      <c r="C64" s="143" t="s">
        <v>254</v>
      </c>
      <c r="D64" s="162">
        <v>5000000000</v>
      </c>
      <c r="E64" s="161">
        <f>B20</f>
        <v>5000000000</v>
      </c>
      <c r="F64" s="160" t="s">
        <v>430</v>
      </c>
      <c r="H64" s="188" t="s">
        <v>431</v>
      </c>
      <c r="I64" s="187" t="s">
        <v>432</v>
      </c>
      <c r="J64" s="135" t="s">
        <v>433</v>
      </c>
      <c r="K64" s="134">
        <f>4*Q76*1000000000/Q61/1000000</f>
        <v>4672</v>
      </c>
      <c r="L64" s="186" t="s">
        <v>141</v>
      </c>
      <c r="N64" s="173" t="s">
        <v>40</v>
      </c>
      <c r="O64" s="172" t="s">
        <v>41</v>
      </c>
      <c r="P64" s="172" t="s">
        <v>44</v>
      </c>
      <c r="Q64" s="172" t="s">
        <v>47</v>
      </c>
      <c r="R64" s="171" t="s">
        <v>46</v>
      </c>
      <c r="T64" s="183" t="s">
        <v>434</v>
      </c>
      <c r="U64" s="151" t="s">
        <v>435</v>
      </c>
      <c r="V64" s="181" t="s">
        <v>436</v>
      </c>
      <c r="W64" s="154" t="s">
        <v>305</v>
      </c>
      <c r="X64" s="137">
        <f>IF(AND(E52=1,E46="TriggerWidth"),1,0)</f>
        <v>0</v>
      </c>
    </row>
    <row r="65" spans="2:24" ht="40.5" hidden="1" customHeight="1">
      <c r="B65" s="355" t="s">
        <v>437</v>
      </c>
      <c r="C65" s="356"/>
      <c r="D65" s="356"/>
      <c r="E65" s="356"/>
      <c r="F65" s="357"/>
      <c r="N65" s="155" t="s">
        <v>438</v>
      </c>
      <c r="O65" s="154" t="s">
        <v>439</v>
      </c>
      <c r="P65" s="154" t="s">
        <v>440</v>
      </c>
      <c r="Q65" s="153">
        <v>1</v>
      </c>
      <c r="R65" s="147" t="s">
        <v>441</v>
      </c>
      <c r="T65" s="185" t="s">
        <v>442</v>
      </c>
      <c r="U65" s="151" t="s">
        <v>443</v>
      </c>
      <c r="V65" s="143" t="s">
        <v>444</v>
      </c>
      <c r="W65" s="143" t="s">
        <v>66</v>
      </c>
      <c r="X65" s="137">
        <v>1</v>
      </c>
    </row>
    <row r="66" spans="2:24" ht="40.5" hidden="1" customHeight="1">
      <c r="B66" s="155" t="s">
        <v>445</v>
      </c>
      <c r="C66" s="154" t="s">
        <v>446</v>
      </c>
      <c r="D66" s="154">
        <v>0</v>
      </c>
      <c r="E66" s="179">
        <f>B16</f>
        <v>0</v>
      </c>
      <c r="F66" s="178" t="s">
        <v>66</v>
      </c>
      <c r="N66" s="155" t="s">
        <v>447</v>
      </c>
      <c r="O66" s="154" t="s">
        <v>448</v>
      </c>
      <c r="P66" s="154" t="s">
        <v>440</v>
      </c>
      <c r="Q66" s="153">
        <v>1</v>
      </c>
      <c r="R66" s="147" t="s">
        <v>441</v>
      </c>
      <c r="T66" s="373" t="s">
        <v>449</v>
      </c>
      <c r="U66" s="374"/>
      <c r="V66" s="374"/>
      <c r="W66" s="374"/>
      <c r="X66" s="375"/>
    </row>
    <row r="67" spans="2:24" ht="42" hidden="1" customHeight="1">
      <c r="B67" s="177" t="s">
        <v>183</v>
      </c>
      <c r="C67" s="176" t="s">
        <v>450</v>
      </c>
      <c r="D67" s="176">
        <f>VLOOKUP($D$40,$T$42:$AU$49,26,FALSE)</f>
        <v>71</v>
      </c>
      <c r="E67" s="175">
        <f>B15</f>
        <v>71.099999999999994</v>
      </c>
      <c r="F67" s="174" t="s">
        <v>70</v>
      </c>
      <c r="N67" s="155" t="s">
        <v>451</v>
      </c>
      <c r="O67" s="154" t="s">
        <v>452</v>
      </c>
      <c r="P67" s="154" t="s">
        <v>453</v>
      </c>
      <c r="Q67" s="153">
        <v>4</v>
      </c>
      <c r="R67" s="147" t="s">
        <v>441</v>
      </c>
      <c r="T67" s="173" t="s">
        <v>152</v>
      </c>
      <c r="U67" s="172" t="s">
        <v>154</v>
      </c>
      <c r="V67" s="172" t="s">
        <v>41</v>
      </c>
      <c r="W67" s="172" t="s">
        <v>44</v>
      </c>
      <c r="X67" s="184" t="s">
        <v>155</v>
      </c>
    </row>
    <row r="68" spans="2:24" ht="41.25" hidden="1" customHeight="1">
      <c r="B68" s="355" t="s">
        <v>454</v>
      </c>
      <c r="C68" s="356"/>
      <c r="D68" s="356"/>
      <c r="E68" s="356"/>
      <c r="F68" s="357"/>
      <c r="N68" s="155" t="s">
        <v>455</v>
      </c>
      <c r="O68" s="154" t="s">
        <v>456</v>
      </c>
      <c r="P68" s="154" t="s">
        <v>440</v>
      </c>
      <c r="Q68" s="153">
        <v>1</v>
      </c>
      <c r="R68" s="147" t="s">
        <v>441</v>
      </c>
      <c r="T68" s="183" t="s">
        <v>457</v>
      </c>
      <c r="U68" s="151" t="s">
        <v>458</v>
      </c>
      <c r="V68" s="181" t="s">
        <v>459</v>
      </c>
      <c r="W68" s="154" t="s">
        <v>457</v>
      </c>
      <c r="X68" s="141" t="str">
        <f>DEC2HEX(Q76)</f>
        <v>920</v>
      </c>
    </row>
    <row r="69" spans="2:24" ht="45" hidden="1">
      <c r="B69" s="155" t="s">
        <v>460</v>
      </c>
      <c r="C69" s="154" t="s">
        <v>461</v>
      </c>
      <c r="D69" s="154">
        <v>1</v>
      </c>
      <c r="E69" s="179">
        <f>B8</f>
        <v>1</v>
      </c>
      <c r="F69" s="178" t="s">
        <v>66</v>
      </c>
      <c r="N69" s="155" t="s">
        <v>462</v>
      </c>
      <c r="O69" s="154" t="s">
        <v>463</v>
      </c>
      <c r="P69" s="154" t="s">
        <v>440</v>
      </c>
      <c r="Q69" s="153">
        <v>1</v>
      </c>
      <c r="R69" s="147" t="s">
        <v>441</v>
      </c>
      <c r="T69" s="182" t="s">
        <v>464</v>
      </c>
      <c r="U69" s="151" t="s">
        <v>465</v>
      </c>
      <c r="V69" s="181" t="s">
        <v>466</v>
      </c>
      <c r="W69" s="154" t="s">
        <v>464</v>
      </c>
      <c r="X69" s="180" t="str">
        <f>DEC2HEX(Q77-4294967296*INT(Q77/4294967296))</f>
        <v>F9B9C9</v>
      </c>
    </row>
    <row r="70" spans="2:24" ht="45" hidden="1">
      <c r="B70" s="177" t="s">
        <v>467</v>
      </c>
      <c r="C70" s="176" t="s">
        <v>468</v>
      </c>
      <c r="D70" s="176">
        <v>1</v>
      </c>
      <c r="E70" s="175">
        <f>B9</f>
        <v>1</v>
      </c>
      <c r="F70" s="174" t="s">
        <v>66</v>
      </c>
      <c r="N70" s="155" t="s">
        <v>469</v>
      </c>
      <c r="O70" s="154" t="s">
        <v>470</v>
      </c>
      <c r="P70" s="154" t="s">
        <v>471</v>
      </c>
      <c r="Q70" s="153">
        <v>4</v>
      </c>
      <c r="R70" s="147" t="s">
        <v>441</v>
      </c>
      <c r="T70" s="182" t="s">
        <v>472</v>
      </c>
      <c r="U70" s="151" t="s">
        <v>473</v>
      </c>
      <c r="V70" s="181" t="s">
        <v>474</v>
      </c>
      <c r="W70" s="154" t="s">
        <v>472</v>
      </c>
      <c r="X70" s="180" t="str">
        <f>DEC2HEX(INT(Q77/4294967296))</f>
        <v>0</v>
      </c>
    </row>
    <row r="71" spans="2:24" ht="135" hidden="1">
      <c r="B71" s="355" t="s">
        <v>475</v>
      </c>
      <c r="C71" s="356"/>
      <c r="D71" s="356"/>
      <c r="E71" s="356"/>
      <c r="F71" s="357"/>
      <c r="N71" s="155" t="s">
        <v>476</v>
      </c>
      <c r="O71" s="143" t="s">
        <v>477</v>
      </c>
      <c r="P71" s="154" t="s">
        <v>478</v>
      </c>
      <c r="Q71" s="153">
        <f>Q65+Q66+Q67+Q68+Q69</f>
        <v>8</v>
      </c>
      <c r="R71" s="147" t="s">
        <v>441</v>
      </c>
      <c r="T71" s="170" t="s">
        <v>479</v>
      </c>
      <c r="U71" s="169" t="s">
        <v>480</v>
      </c>
      <c r="V71" s="143" t="s">
        <v>481</v>
      </c>
      <c r="W71" s="154" t="s">
        <v>479</v>
      </c>
      <c r="X71" s="167" t="str">
        <f>DEC2HEX(Q78)</f>
        <v>7F8</v>
      </c>
    </row>
    <row r="72" spans="2:24" ht="30" hidden="1">
      <c r="B72" s="155" t="s">
        <v>482</v>
      </c>
      <c r="C72" s="154" t="s">
        <v>483</v>
      </c>
      <c r="D72" s="154">
        <v>1</v>
      </c>
      <c r="E72" s="179">
        <f>B6</f>
        <v>1</v>
      </c>
      <c r="F72" s="178" t="s">
        <v>66</v>
      </c>
      <c r="N72" s="355" t="s">
        <v>484</v>
      </c>
      <c r="O72" s="356"/>
      <c r="P72" s="356"/>
      <c r="Q72" s="356"/>
      <c r="R72" s="357"/>
      <c r="T72" s="170" t="s">
        <v>485</v>
      </c>
      <c r="U72" s="169" t="s">
        <v>486</v>
      </c>
      <c r="V72" s="143" t="s">
        <v>487</v>
      </c>
      <c r="W72" s="154" t="s">
        <v>488</v>
      </c>
      <c r="X72" s="167" t="str">
        <f>DEC2HEX(Q79)</f>
        <v>1F56</v>
      </c>
    </row>
    <row r="73" spans="2:24" ht="30" hidden="1">
      <c r="B73" s="177" t="s">
        <v>489</v>
      </c>
      <c r="C73" s="176" t="s">
        <v>490</v>
      </c>
      <c r="D73" s="176">
        <v>1</v>
      </c>
      <c r="E73" s="175">
        <f>B7</f>
        <v>1</v>
      </c>
      <c r="F73" s="174" t="s">
        <v>66</v>
      </c>
      <c r="N73" s="173" t="s">
        <v>40</v>
      </c>
      <c r="O73" s="172" t="s">
        <v>41</v>
      </c>
      <c r="P73" s="172" t="s">
        <v>44</v>
      </c>
      <c r="Q73" s="172" t="s">
        <v>47</v>
      </c>
      <c r="R73" s="171" t="s">
        <v>46</v>
      </c>
      <c r="T73" s="170" t="s">
        <v>491</v>
      </c>
      <c r="U73" s="169" t="s">
        <v>492</v>
      </c>
      <c r="V73" s="143" t="s">
        <v>493</v>
      </c>
      <c r="W73" s="154" t="s">
        <v>494</v>
      </c>
      <c r="X73" s="167" t="str">
        <f>DEC2HEX(Q80)</f>
        <v>479</v>
      </c>
    </row>
    <row r="74" spans="2:24" ht="30" hidden="1">
      <c r="B74" s="358" t="s">
        <v>495</v>
      </c>
      <c r="C74" s="359"/>
      <c r="D74" s="359"/>
      <c r="E74" s="359"/>
      <c r="F74" s="360"/>
      <c r="N74" s="155" t="s">
        <v>496</v>
      </c>
      <c r="O74" s="143" t="s">
        <v>497</v>
      </c>
      <c r="P74" s="154" t="s">
        <v>498</v>
      </c>
      <c r="Q74" s="153">
        <v>25</v>
      </c>
      <c r="R74" s="147" t="s">
        <v>441</v>
      </c>
      <c r="T74" s="144" t="s">
        <v>499</v>
      </c>
      <c r="U74" s="169" t="s">
        <v>500</v>
      </c>
      <c r="V74" s="143" t="s">
        <v>501</v>
      </c>
      <c r="W74" s="168" t="s">
        <v>502</v>
      </c>
      <c r="X74" s="167" t="str">
        <f>DEC2HEX(65536*E61+IF(E60=6.25,HEX2DEC(48),IF(E60=12.5,HEX2DEC(58),HEX2DEC(58))))</f>
        <v>40058</v>
      </c>
    </row>
    <row r="75" spans="2:24" ht="60.75" hidden="1" thickBot="1">
      <c r="B75" s="144" t="s">
        <v>503</v>
      </c>
      <c r="C75" s="143" t="s">
        <v>504</v>
      </c>
      <c r="D75" s="162">
        <v>0</v>
      </c>
      <c r="E75" s="161">
        <v>0</v>
      </c>
      <c r="F75" s="160" t="s">
        <v>441</v>
      </c>
      <c r="N75" s="155" t="s">
        <v>505</v>
      </c>
      <c r="O75" s="143" t="s">
        <v>506</v>
      </c>
      <c r="P75" s="154" t="s">
        <v>507</v>
      </c>
      <c r="Q75" s="153">
        <v>2</v>
      </c>
      <c r="R75" s="147" t="s">
        <v>441</v>
      </c>
      <c r="T75" s="166" t="s">
        <v>508</v>
      </c>
      <c r="U75" s="165" t="s">
        <v>509</v>
      </c>
      <c r="V75" s="135" t="s">
        <v>510</v>
      </c>
      <c r="W75" s="164" t="s">
        <v>504</v>
      </c>
      <c r="X75" s="163" t="str">
        <f>DEC2HEX(E75)</f>
        <v>0</v>
      </c>
    </row>
    <row r="76" spans="2:24" ht="195" hidden="1">
      <c r="B76" s="144" t="s">
        <v>511</v>
      </c>
      <c r="C76" s="143" t="s">
        <v>512</v>
      </c>
      <c r="D76" s="162">
        <v>1</v>
      </c>
      <c r="E76" s="161">
        <v>1</v>
      </c>
      <c r="F76" s="160" t="s">
        <v>513</v>
      </c>
      <c r="N76" s="155" t="s">
        <v>457</v>
      </c>
      <c r="O76" s="143" t="s">
        <v>459</v>
      </c>
      <c r="P76" s="154" t="s">
        <v>514</v>
      </c>
      <c r="Q76" s="159">
        <f>ROUNDUP(E57*2*E44/16/4,0)</f>
        <v>2336</v>
      </c>
      <c r="R76" s="147" t="s">
        <v>441</v>
      </c>
    </row>
    <row r="77" spans="2:24" ht="45" hidden="1">
      <c r="B77" s="361" t="s">
        <v>515</v>
      </c>
      <c r="C77" s="362"/>
      <c r="D77" s="362"/>
      <c r="E77" s="362"/>
      <c r="F77" s="363"/>
      <c r="N77" s="144" t="s">
        <v>516</v>
      </c>
      <c r="O77" s="143" t="s">
        <v>517</v>
      </c>
      <c r="P77" s="154" t="s">
        <v>518</v>
      </c>
      <c r="Q77" s="159">
        <f>E58*(Q75+Q76)+Q74</f>
        <v>16366025</v>
      </c>
      <c r="R77" s="147" t="s">
        <v>441</v>
      </c>
    </row>
    <row r="78" spans="2:24" ht="90.75" hidden="1" thickBot="1">
      <c r="B78" s="158" t="s">
        <v>7</v>
      </c>
      <c r="C78" s="364" t="s">
        <v>519</v>
      </c>
      <c r="D78" s="364"/>
      <c r="E78" s="365">
        <f>K45</f>
        <v>71.093416749608991</v>
      </c>
      <c r="F78" s="366"/>
      <c r="N78" s="144" t="s">
        <v>479</v>
      </c>
      <c r="O78" s="143" t="s">
        <v>481</v>
      </c>
      <c r="P78" s="154" t="s">
        <v>520</v>
      </c>
      <c r="Q78" s="153">
        <f>IF(E62/4&gt;=Q71,E62/4-Q71,0)</f>
        <v>2040</v>
      </c>
      <c r="R78" s="147" t="s">
        <v>441</v>
      </c>
    </row>
    <row r="79" spans="2:24" ht="90" hidden="1">
      <c r="N79" s="155" t="s">
        <v>488</v>
      </c>
      <c r="O79" s="143" t="s">
        <v>487</v>
      </c>
      <c r="P79" s="154" t="s">
        <v>521</v>
      </c>
      <c r="Q79" s="156">
        <f>IF(Q78=0,0,INT(Q77/Q78))</f>
        <v>8022</v>
      </c>
      <c r="R79" s="147" t="s">
        <v>66</v>
      </c>
    </row>
    <row r="80" spans="2:24" ht="120" hidden="1">
      <c r="J80" s="157"/>
      <c r="N80" s="155" t="s">
        <v>494</v>
      </c>
      <c r="O80" s="143" t="s">
        <v>493</v>
      </c>
      <c r="P80" s="154" t="s">
        <v>522</v>
      </c>
      <c r="Q80" s="156">
        <f>IF(Q78=0,0,Q77-Q78*Q79)</f>
        <v>1145</v>
      </c>
      <c r="R80" s="147" t="s">
        <v>441</v>
      </c>
    </row>
    <row r="81" spans="14:18" ht="30" hidden="1">
      <c r="N81" s="155" t="s">
        <v>523</v>
      </c>
      <c r="O81" s="143" t="s">
        <v>524</v>
      </c>
      <c r="P81" s="154" t="s">
        <v>525</v>
      </c>
      <c r="Q81" s="153">
        <f>IF(Q80=0,0,1)</f>
        <v>1</v>
      </c>
      <c r="R81" s="147" t="s">
        <v>66</v>
      </c>
    </row>
    <row r="82" spans="14:18" ht="120" hidden="1">
      <c r="N82" s="152" t="s">
        <v>526</v>
      </c>
      <c r="O82" s="151" t="s">
        <v>527</v>
      </c>
      <c r="P82" s="151" t="s">
        <v>528</v>
      </c>
      <c r="Q82" s="150">
        <f>Q79*(Q78+Q71+Q70)+Q81*(Q80+Q71+Q70)</f>
        <v>16462301</v>
      </c>
      <c r="R82" s="149" t="s">
        <v>441</v>
      </c>
    </row>
    <row r="83" spans="14:18" ht="75" hidden="1">
      <c r="N83" s="144" t="s">
        <v>529</v>
      </c>
      <c r="O83" s="143" t="s">
        <v>530</v>
      </c>
      <c r="P83" s="143" t="s">
        <v>531</v>
      </c>
      <c r="Q83" s="148">
        <f>(Q81+Q79)*E75</f>
        <v>0</v>
      </c>
      <c r="R83" s="147" t="s">
        <v>441</v>
      </c>
    </row>
    <row r="84" spans="14:18" ht="60" hidden="1">
      <c r="N84" s="144" t="s">
        <v>532</v>
      </c>
      <c r="O84" s="143" t="s">
        <v>533</v>
      </c>
      <c r="P84" s="143" t="s">
        <v>534</v>
      </c>
      <c r="Q84" s="142">
        <f>Q82+Q83</f>
        <v>16462301</v>
      </c>
      <c r="R84" s="147" t="s">
        <v>441</v>
      </c>
    </row>
    <row r="85" spans="14:18" ht="75" hidden="1">
      <c r="N85" s="144" t="s">
        <v>535</v>
      </c>
      <c r="O85" s="143" t="s">
        <v>536</v>
      </c>
      <c r="P85" s="143" t="s">
        <v>537</v>
      </c>
      <c r="Q85" s="146">
        <f>1*100/95</f>
        <v>1.0526315789473684</v>
      </c>
      <c r="R85" s="145" t="s">
        <v>513</v>
      </c>
    </row>
    <row r="86" spans="14:18" ht="135" hidden="1">
      <c r="N86" s="144" t="s">
        <v>538</v>
      </c>
      <c r="O86" s="143" t="s">
        <v>539</v>
      </c>
      <c r="P86" s="143" t="s">
        <v>540</v>
      </c>
      <c r="Q86" s="142">
        <f>INT(E61*1000000000*8*E60*(100-E76-Q85)/80/10)</f>
        <v>48973684210</v>
      </c>
      <c r="R86" s="141" t="s">
        <v>541</v>
      </c>
    </row>
    <row r="87" spans="14:18" ht="105" hidden="1">
      <c r="N87" s="140" t="s">
        <v>542</v>
      </c>
      <c r="O87" s="139" t="s">
        <v>543</v>
      </c>
      <c r="P87" s="139" t="s">
        <v>544</v>
      </c>
      <c r="Q87" s="138">
        <f>ROUNDUP(1000000*Q82*4*100/(E64*(100-Q85)),0)</f>
        <v>13310</v>
      </c>
      <c r="R87" s="137" t="s">
        <v>64</v>
      </c>
    </row>
    <row r="88" spans="14:18" ht="75.75" hidden="1" thickBot="1">
      <c r="N88" s="136" t="s">
        <v>545</v>
      </c>
      <c r="O88" s="135" t="s">
        <v>546</v>
      </c>
      <c r="P88" s="135" t="s">
        <v>547</v>
      </c>
      <c r="Q88" s="134">
        <f>ROUNDUP(4*Q84*1000000/Q86,0)*10</f>
        <v>13450</v>
      </c>
      <c r="R88" s="133" t="s">
        <v>64</v>
      </c>
    </row>
    <row r="89" spans="14:18" hidden="1"/>
    <row r="90" spans="14:18" hidden="1"/>
    <row r="91" spans="14:18" hidden="1"/>
    <row r="92" spans="14:18" hidden="1"/>
    <row r="93" spans="14:18" hidden="1"/>
    <row r="111" spans="8:10">
      <c r="H111" s="131"/>
      <c r="I111" s="354"/>
      <c r="J111" s="354"/>
    </row>
    <row r="112" spans="8:10">
      <c r="H112" s="131"/>
      <c r="I112" s="131"/>
      <c r="J112" s="131"/>
    </row>
    <row r="113" spans="2:10">
      <c r="H113" s="131"/>
      <c r="I113" s="131"/>
      <c r="J113" s="131"/>
    </row>
    <row r="114" spans="2:10">
      <c r="H114" s="131"/>
      <c r="I114" s="131"/>
      <c r="J114" s="131"/>
    </row>
    <row r="115" spans="2:10">
      <c r="H115" s="131"/>
      <c r="I115" s="131"/>
      <c r="J115" s="131"/>
    </row>
    <row r="116" spans="2:10">
      <c r="H116" s="131"/>
      <c r="I116" s="354"/>
      <c r="J116" s="354"/>
    </row>
    <row r="117" spans="2:10">
      <c r="G117" s="132"/>
      <c r="H117" s="131"/>
      <c r="I117" s="131"/>
      <c r="J117" s="131"/>
    </row>
    <row r="118" spans="2:10">
      <c r="B118" s="131"/>
      <c r="C118" s="131"/>
      <c r="D118" s="131"/>
      <c r="E118" s="131"/>
      <c r="G118" s="131"/>
      <c r="H118" s="131"/>
      <c r="I118" s="131"/>
      <c r="J118" s="131"/>
    </row>
    <row r="119" spans="2:10">
      <c r="B119" s="131"/>
      <c r="C119" s="131"/>
      <c r="D119" s="131"/>
      <c r="E119" s="131"/>
      <c r="G119" s="131"/>
      <c r="H119" s="131"/>
      <c r="I119" s="131"/>
      <c r="J119" s="131"/>
    </row>
    <row r="120" spans="2:10">
      <c r="B120" s="131"/>
      <c r="C120" s="131"/>
      <c r="D120" s="131"/>
      <c r="E120" s="131"/>
      <c r="G120" s="131"/>
      <c r="H120" s="131"/>
      <c r="I120" s="131"/>
      <c r="J120" s="131"/>
    </row>
    <row r="121" spans="2:10">
      <c r="B121" s="131"/>
      <c r="C121" s="131"/>
      <c r="D121" s="131"/>
      <c r="E121" s="131"/>
      <c r="F121" s="132"/>
      <c r="G121" s="131"/>
      <c r="H121" s="131"/>
      <c r="I121" s="354"/>
      <c r="J121" s="354"/>
    </row>
    <row r="122" spans="2:10">
      <c r="B122" s="131"/>
      <c r="C122" s="131"/>
      <c r="D122" s="131"/>
      <c r="E122" s="131"/>
      <c r="F122" s="131"/>
      <c r="G122" s="131"/>
      <c r="H122" s="131"/>
      <c r="I122" s="131"/>
      <c r="J122" s="131"/>
    </row>
    <row r="123" spans="2:10">
      <c r="B123" s="131"/>
      <c r="C123" s="131"/>
      <c r="D123" s="131"/>
      <c r="E123" s="131"/>
      <c r="F123" s="131"/>
      <c r="G123" s="131"/>
      <c r="H123" s="131"/>
      <c r="I123" s="131"/>
      <c r="J123" s="131"/>
    </row>
    <row r="124" spans="2:10">
      <c r="B124" s="131"/>
      <c r="C124" s="131"/>
      <c r="D124" s="131"/>
      <c r="E124" s="131"/>
      <c r="F124" s="131"/>
      <c r="G124" s="131"/>
      <c r="H124" s="131"/>
      <c r="I124" s="131"/>
      <c r="J124" s="131"/>
    </row>
    <row r="125" spans="2:10">
      <c r="B125" s="132"/>
      <c r="C125" s="132"/>
      <c r="D125" s="131"/>
      <c r="E125" s="131"/>
      <c r="F125" s="131"/>
      <c r="G125" s="131"/>
      <c r="H125" s="131"/>
      <c r="I125" s="131"/>
      <c r="J125" s="131"/>
    </row>
    <row r="126" spans="2:10">
      <c r="B126" s="131"/>
      <c r="C126" s="132"/>
      <c r="D126" s="131"/>
      <c r="E126" s="131"/>
      <c r="F126" s="131"/>
      <c r="G126" s="131"/>
      <c r="H126" s="131"/>
      <c r="I126" s="131"/>
      <c r="J126" s="131"/>
    </row>
    <row r="127" spans="2:10">
      <c r="B127" s="131"/>
      <c r="C127" s="132"/>
      <c r="D127" s="131"/>
      <c r="E127" s="131"/>
      <c r="F127" s="131"/>
      <c r="G127" s="131"/>
      <c r="H127" s="131"/>
      <c r="I127" s="131"/>
      <c r="J127" s="131"/>
    </row>
    <row r="128" spans="2:10">
      <c r="B128" s="131"/>
      <c r="C128" s="131"/>
      <c r="D128" s="131"/>
      <c r="E128" s="131"/>
      <c r="F128" s="131"/>
      <c r="G128" s="131"/>
      <c r="H128" s="131"/>
      <c r="I128" s="131"/>
      <c r="J128" s="131"/>
    </row>
    <row r="129" spans="2:10">
      <c r="B129" s="131"/>
      <c r="C129" s="131"/>
      <c r="D129" s="131"/>
      <c r="E129" s="131"/>
      <c r="F129" s="131"/>
      <c r="G129" s="131"/>
      <c r="H129" s="131"/>
      <c r="I129" s="131"/>
      <c r="J129" s="131"/>
    </row>
    <row r="130" spans="2:10">
      <c r="B130" s="131"/>
      <c r="C130" s="131"/>
      <c r="D130" s="131"/>
      <c r="E130" s="131"/>
      <c r="F130" s="131"/>
      <c r="G130" s="131"/>
      <c r="H130" s="131"/>
      <c r="I130" s="131"/>
      <c r="J130" s="131"/>
    </row>
    <row r="131" spans="2:10">
      <c r="B131" s="131"/>
      <c r="C131" s="131"/>
      <c r="D131" s="131"/>
      <c r="E131" s="131"/>
      <c r="F131" s="131"/>
      <c r="G131" s="131"/>
      <c r="H131" s="131"/>
      <c r="I131" s="131"/>
      <c r="J131" s="131"/>
    </row>
    <row r="132" spans="2:10">
      <c r="B132" s="131"/>
      <c r="C132" s="131"/>
      <c r="D132" s="131"/>
      <c r="E132" s="131"/>
      <c r="F132" s="131"/>
      <c r="G132" s="131"/>
      <c r="H132" s="131"/>
      <c r="I132" s="131"/>
      <c r="J132" s="131"/>
    </row>
    <row r="133" spans="2:10">
      <c r="B133" s="131"/>
      <c r="C133" s="131"/>
      <c r="D133" s="131"/>
      <c r="E133" s="131"/>
      <c r="F133" s="131"/>
      <c r="G133" s="131"/>
      <c r="H133" s="131"/>
      <c r="I133" s="131"/>
      <c r="J133" s="131"/>
    </row>
    <row r="134" spans="2:10">
      <c r="B134" s="131"/>
      <c r="C134" s="131"/>
      <c r="D134" s="131"/>
      <c r="E134" s="131"/>
      <c r="F134" s="131"/>
      <c r="G134" s="131"/>
      <c r="H134" s="131"/>
      <c r="I134" s="131"/>
      <c r="J134" s="131"/>
    </row>
    <row r="135" spans="2:10">
      <c r="B135" s="131"/>
      <c r="C135" s="131"/>
      <c r="D135" s="131"/>
      <c r="E135" s="131"/>
      <c r="F135" s="131"/>
      <c r="G135" s="131"/>
      <c r="H135" s="131"/>
      <c r="I135" s="131"/>
      <c r="J135" s="131"/>
    </row>
    <row r="136" spans="2:10">
      <c r="B136" s="131"/>
      <c r="C136" s="131"/>
      <c r="D136" s="131"/>
      <c r="E136" s="131"/>
      <c r="F136" s="131"/>
      <c r="G136" s="131"/>
    </row>
    <row r="137" spans="2:10">
      <c r="B137" s="131"/>
      <c r="C137" s="131"/>
      <c r="D137" s="131"/>
      <c r="E137" s="131"/>
      <c r="F137" s="131"/>
      <c r="G137" s="131"/>
    </row>
    <row r="138" spans="2:10">
      <c r="B138" s="131"/>
      <c r="C138" s="131"/>
      <c r="D138" s="131"/>
      <c r="E138" s="131"/>
      <c r="F138" s="131"/>
      <c r="G138" s="131"/>
    </row>
    <row r="139" spans="2:10">
      <c r="B139" s="131"/>
      <c r="C139" s="131"/>
      <c r="D139" s="131"/>
      <c r="E139" s="131"/>
      <c r="F139" s="131"/>
      <c r="G139" s="131"/>
    </row>
    <row r="140" spans="2:10">
      <c r="B140" s="131"/>
      <c r="C140" s="131"/>
      <c r="D140" s="131"/>
      <c r="E140" s="131"/>
      <c r="F140" s="131"/>
      <c r="G140" s="131"/>
    </row>
    <row r="141" spans="2:10">
      <c r="B141" s="131"/>
      <c r="C141" s="131"/>
      <c r="D141" s="131"/>
      <c r="E141" s="131"/>
      <c r="F141" s="131"/>
      <c r="G141" s="131"/>
    </row>
    <row r="142" spans="2:10">
      <c r="B142" s="131"/>
      <c r="C142" s="131"/>
      <c r="D142" s="131"/>
      <c r="E142" s="131"/>
      <c r="F142" s="131"/>
    </row>
    <row r="143" spans="2:10">
      <c r="F143" s="131"/>
    </row>
    <row r="144" spans="2:10">
      <c r="F144" s="131"/>
    </row>
    <row r="145" spans="6:6">
      <c r="F145" s="131"/>
    </row>
  </sheetData>
  <sheetProtection password="DE11" sheet="1" objects="1" selectLockedCells="1"/>
  <mergeCells count="30">
    <mergeCell ref="N40:R40"/>
    <mergeCell ref="T40:AU40"/>
    <mergeCell ref="B41:F41"/>
    <mergeCell ref="H41:L41"/>
    <mergeCell ref="N41:R41"/>
    <mergeCell ref="H40:L40"/>
    <mergeCell ref="B43:F43"/>
    <mergeCell ref="B45:F45"/>
    <mergeCell ref="H46:L46"/>
    <mergeCell ref="B51:F51"/>
    <mergeCell ref="H52:L52"/>
    <mergeCell ref="H60:L60"/>
    <mergeCell ref="N63:R63"/>
    <mergeCell ref="B65:F65"/>
    <mergeCell ref="T66:X66"/>
    <mergeCell ref="B68:F68"/>
    <mergeCell ref="B54:F54"/>
    <mergeCell ref="N55:R55"/>
    <mergeCell ref="T55:X55"/>
    <mergeCell ref="H57:L57"/>
    <mergeCell ref="B59:F59"/>
    <mergeCell ref="I111:J111"/>
    <mergeCell ref="I116:J116"/>
    <mergeCell ref="I121:J121"/>
    <mergeCell ref="B71:F71"/>
    <mergeCell ref="N72:R72"/>
    <mergeCell ref="B74:F74"/>
    <mergeCell ref="B77:F77"/>
    <mergeCell ref="C78:D78"/>
    <mergeCell ref="E78:F78"/>
  </mergeCells>
  <phoneticPr fontId="12" type="noConversion"/>
  <dataValidations count="39">
    <dataValidation type="list" allowBlank="1" showInputMessage="1" showErrorMessage="1" errorTitle="输入数值非法" error="输入参数值为1或者2或者4" sqref="B6:B7" xr:uid="{00000000-0002-0000-0400-000000000000}">
      <formula1>"1,2,4"</formula1>
    </dataValidation>
    <dataValidation type="list" allowBlank="1" showErrorMessage="1" error="只支持1x 2x 4x垂直Binning/Skipping，且需要同步修改垂直ROI" sqref="E70 E73" xr:uid="{00000000-0002-0000-0400-000001000000}">
      <formula1>"1,2,4"</formula1>
    </dataValidation>
    <dataValidation type="list" allowBlank="1" showErrorMessage="1" error="只支持1x 2x 4x水平Binning/Skipping，且需要同步修改水平ROI" sqref="E69 E72" xr:uid="{00000000-0002-0000-0400-000002000000}">
      <formula1>"1,2,4"</formula1>
    </dataValidation>
    <dataValidation type="decimal" allowBlank="1" showInputMessage="1" showErrorMessage="1" sqref="E67" xr:uid="{00000000-0002-0000-0400-000003000000}">
      <formula1>0.1</formula1>
      <formula2>10000</formula2>
    </dataValidation>
    <dataValidation type="custom" allowBlank="1" showInputMessage="1" showErrorMessage="1" errorTitle="带宽限制值设置错误" error="带宽限制值需要以100000000为步长，最小值100000000" sqref="E64" xr:uid="{00000000-0002-0000-0400-000004000000}">
      <formula1>AND(E64&lt;=D64,E64&gt;=100000000,MOD(E64,10000000)=0)</formula1>
    </dataValidation>
    <dataValidation type="list" allowBlank="1" showInputMessage="1" showErrorMessage="1" errorTitle="超出范围" error="0:关闭_x000a_1:打开" sqref="E63 E66" xr:uid="{00000000-0002-0000-0400-000005000000}">
      <formula1>"0,1"</formula1>
    </dataValidation>
    <dataValidation type="whole" allowBlank="1" showInputMessage="1" showErrorMessage="1" errorTitle="流包包长设置错误" error="流包包长范围512-16384bytes" sqref="E62" xr:uid="{00000000-0002-0000-0400-000006000000}">
      <formula1>512</formula1>
      <formula2>16384</formula2>
    </dataValidation>
    <dataValidation type="list" allowBlank="1" showInputMessage="1" showErrorMessage="1" sqref="E61" xr:uid="{00000000-0002-0000-0400-000007000000}">
      <formula1>"1,2,4"</formula1>
    </dataValidation>
    <dataValidation type="list" allowBlank="1" showInputMessage="1" showErrorMessage="1" sqref="E60" xr:uid="{00000000-0002-0000-0400-000008000000}">
      <formula1>"12.5,6.25"</formula1>
    </dataValidation>
    <dataValidation type="whole" allowBlank="1" showInputMessage="1" showErrorMessage="1" errorTitle="输入数值非法" error="最小值4，最大值D12" sqref="E57" xr:uid="{00000000-0002-0000-0400-000009000000}">
      <formula1>32</formula1>
      <formula2>D57</formula2>
    </dataValidation>
    <dataValidation type="whole" allowBlank="1" showInputMessage="1" showErrorMessage="1" errorTitle="超出范围" error="触发延时的范围是0-3000000us" sqref="E53" xr:uid="{00000000-0002-0000-0400-00000A000000}">
      <formula1>0</formula1>
      <formula2>3000000</formula2>
    </dataValidation>
    <dataValidation type="list" allowBlank="1" showInputMessage="1" showErrorMessage="1" sqref="E52" xr:uid="{00000000-0002-0000-0400-00000B000000}">
      <formula1>"0,1"</formula1>
    </dataValidation>
    <dataValidation type="whole" allowBlank="1" showInputMessage="1" showErrorMessage="1" errorTitle="超出范围" error="触发信号宽度的范围是1-1000000us" sqref="E50" xr:uid="{00000000-0002-0000-0400-00000C000000}">
      <formula1>1</formula1>
      <formula2>1000000</formula2>
    </dataValidation>
    <dataValidation type="whole" allowBlank="1" showInputMessage="1" showErrorMessage="1" sqref="E47" xr:uid="{00000000-0002-0000-0400-00000D000000}">
      <formula1>0</formula1>
      <formula2>D47</formula2>
    </dataValidation>
    <dataValidation type="whole" allowBlank="1" showInputMessage="1" showErrorMessage="1" errorTitle="设置值超出范围" error="包间隔设置值超出范围" sqref="E75" xr:uid="{00000000-0002-0000-0400-00000E000000}">
      <formula1>0</formula1>
      <formula2>K73</formula2>
    </dataValidation>
    <dataValidation type="list" allowBlank="1" showInputMessage="1" showErrorMessage="1" sqref="E46" xr:uid="{00000000-0002-0000-0400-00000F000000}">
      <formula1>"Timed,TriggerWidth"</formula1>
    </dataValidation>
    <dataValidation type="list" allowBlank="1" showInputMessage="1" showErrorMessage="1" sqref="D40" xr:uid="{00000000-0002-0000-0400-000010000000}">
      <formula1>$T$42:$T$46</formula1>
    </dataValidation>
    <dataValidation type="list" allowBlank="1" showInputMessage="1" showErrorMessage="1" error="请输入参数为1或者2或者4" sqref="B18" xr:uid="{00000000-0002-0000-0400-000011000000}">
      <formula1>"1,2,4"</formula1>
    </dataValidation>
    <dataValidation type="list" allowBlank="1" showInputMessage="1" showErrorMessage="1" error="请输入参数6.25或者12.5" sqref="B17" xr:uid="{00000000-0002-0000-0400-000012000000}">
      <formula1>"6.25,12.5"</formula1>
    </dataValidation>
    <dataValidation type="list" allowBlank="1" showInputMessage="1" showErrorMessage="1" error="请输入0或者1" sqref="B19" xr:uid="{00000000-0002-0000-0400-000013000000}">
      <formula1>"0,1"</formula1>
    </dataValidation>
    <dataValidation type="list" allowBlank="1" showInputMessage="1" showErrorMessage="1" errorTitle="超出范围" error="请输入0或者1" sqref="B16" xr:uid="{00000000-0002-0000-0400-000014000000}">
      <formula1>"0,1"</formula1>
    </dataValidation>
    <dataValidation type="custom" allowBlank="1" showInputMessage="1" showErrorMessage="1" error="设置值范围0.1~10000.0，精确到一位小数" sqref="B15" xr:uid="{00000000-0002-0000-0400-000015000000}">
      <formula1>AND(TRUNC(B15,1)=B15,(B15&gt;=0.1),(B15&lt;=10000))</formula1>
    </dataValidation>
    <dataValidation type="list" allowBlank="1" showInputMessage="1" showErrorMessage="1" error="输入参数值为1或者2或者4" sqref="B8:B9" xr:uid="{00000000-0002-0000-0400-000016000000}">
      <formula1>"1,2,4"</formula1>
    </dataValidation>
    <dataValidation type="list" allowBlank="1" showInputMessage="1" showErrorMessage="1" error="请输入参数0或者1" sqref="B14" xr:uid="{00000000-0002-0000-0400-000017000000}">
      <formula1>"0,1"</formula1>
    </dataValidation>
    <dataValidation type="whole" allowBlank="1" showInputMessage="1" showErrorMessage="1" errorTitle="超出范围" error="曝光延迟的范围是0-5000us" sqref="E49" xr:uid="{00000000-0002-0000-0400-000018000000}">
      <formula1>0</formula1>
      <formula2>5000</formula2>
    </dataValidation>
    <dataValidation type="list" allowBlank="1" showInputMessage="1" showErrorMessage="1" sqref="B12" xr:uid="{00000000-0002-0000-0400-000019000000}">
      <formula1>"8,10"</formula1>
    </dataValidation>
    <dataValidation type="whole" allowBlank="1" showInputMessage="1" showErrorMessage="1" errorTitle="输入数值非法" error="最小值2，最大值D13" sqref="E58" xr:uid="{00000000-0002-0000-0400-00001A000000}">
      <formula1>2</formula1>
      <formula2>D58</formula2>
    </dataValidation>
    <dataValidation type="custom" allowBlank="1" showInputMessage="1" showErrorMessage="1" errorTitle="输入数值非法" error="输入范围是2~图像高度最大值，步长为2" sqref="B5" xr:uid="{00000000-0002-0000-0400-00001B000000}">
      <formula1>AND((B5&lt;=B3),(B5&gt;=2),(MOD(B5,2)=0))</formula1>
    </dataValidation>
    <dataValidation type="whole" allowBlank="1" showInputMessage="1" showErrorMessage="1" errorTitle="超出范围" error="曝光时间的范围是14us-1s" sqref="B10" xr:uid="{00000000-0002-0000-0400-00001C000000}">
      <formula1>13</formula1>
      <formula2>1000000</formula2>
    </dataValidation>
    <dataValidation type="custom" allowBlank="1" showInputMessage="1" showErrorMessage="1" error="输入范围是512~8192，步长为4" sqref="B13" xr:uid="{00000000-0002-0000-0400-00001D000000}">
      <formula1>AND((B13&lt;=8192),(B13&gt;=512),(MOD(B13,4)=0))</formula1>
    </dataValidation>
    <dataValidation type="custom" allowBlank="1" showInputMessage="1" showErrorMessage="1" error="输入范围是[100000000,5000000000]，步长10000000，单位Bps" sqref="B20" xr:uid="{00000000-0002-0000-0400-00001E000000}">
      <formula1>AND(B20&lt;=D64,B20&gt;=100000000,MOD(B20,10000000)=0)</formula1>
    </dataValidation>
    <dataValidation type="custom" allowBlank="1" showInputMessage="1" showErrorMessage="1" errorTitle="输入数值非法" error="输入范围是32~图像宽度最大值，步长为32" sqref="B4" xr:uid="{00000000-0002-0000-0400-00001F000000}">
      <formula1>AND((B4&lt;=B2),(B4&gt;=32),(MOD(B4,32)=0))</formula1>
    </dataValidation>
    <dataValidation type="whole" allowBlank="1" showInputMessage="1" showErrorMessage="1" error="输入范围是[0,5000]，单位为us" sqref="B11" xr:uid="{00000000-0002-0000-0400-000020000000}">
      <formula1>0</formula1>
      <formula2>5000</formula2>
    </dataValidation>
    <dataValidation allowBlank="1" showErrorMessage="1" promptTitle="参数变化" prompt="该参数会根据当前生效的垂直像素Binning、垂直像素抽样变化" sqref="B3" xr:uid="{00000000-0002-0000-0400-000021000000}"/>
    <dataValidation allowBlank="1" showInputMessage="1" showErrorMessage="1" error="输入范围是64~1024，步长为2" sqref="A1:B1" xr:uid="{00000000-0002-0000-0400-000022000000}"/>
    <dataValidation type="list" allowBlank="1" showInputMessage="1" showErrorMessage="1" sqref="E44" xr:uid="{00000000-0002-0000-0400-000023000000}">
      <formula1>"8,10,12"</formula1>
    </dataValidation>
    <dataValidation type="whole" allowBlank="1" showInputMessage="1" showErrorMessage="1" errorTitle="超出范围" error="曝光时间的范围是14us-1s" sqref="E48" xr:uid="{00000000-0002-0000-0400-000024000000}">
      <formula1>14</formula1>
      <formula2>10000000</formula2>
    </dataValidation>
    <dataValidation type="whole" allowBlank="1" showInputMessage="1" showErrorMessage="1" errorTitle="设置值超出范围" error="预留带宽设置值超出范围" sqref="E76" xr:uid="{00000000-0002-0000-0400-000025000000}">
      <formula1>D76</formula1>
      <formula2>99</formula2>
    </dataValidation>
    <dataValidation allowBlank="1" showErrorMessage="1" promptTitle="参数变化" prompt="该参数会根据当前生效的水平像素Binning、水平像素抽样变化" sqref="B2" xr:uid="{00000000-0002-0000-0400-000026000000}"/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U145"/>
  <sheetViews>
    <sheetView workbookViewId="0">
      <selection activeCell="B6" sqref="B6"/>
    </sheetView>
  </sheetViews>
  <sheetFormatPr defaultColWidth="9" defaultRowHeight="15"/>
  <cols>
    <col min="1" max="1" width="33.28515625" customWidth="1"/>
    <col min="2" max="2" width="16.42578125" customWidth="1"/>
    <col min="3" max="3" width="15.85546875" customWidth="1"/>
    <col min="4" max="4" width="14.42578125" customWidth="1"/>
    <col min="5" max="6" width="13.7109375" customWidth="1"/>
    <col min="7" max="7" width="15" customWidth="1"/>
    <col min="8" max="8" width="15.85546875" customWidth="1"/>
    <col min="9" max="9" width="15.5703125" customWidth="1"/>
    <col min="10" max="10" width="15.42578125" customWidth="1"/>
    <col min="11" max="11" width="15" customWidth="1"/>
    <col min="12" max="12" width="15.42578125" customWidth="1"/>
    <col min="13" max="13" width="16" customWidth="1"/>
    <col min="14" max="14" width="16.42578125" customWidth="1"/>
    <col min="15" max="16" width="15.5703125" customWidth="1"/>
    <col min="17" max="17" width="14.85546875" customWidth="1"/>
    <col min="18" max="18" width="15" customWidth="1"/>
    <col min="19" max="19" width="15.42578125" customWidth="1"/>
    <col min="20" max="20" width="15.28515625" customWidth="1"/>
    <col min="21" max="21" width="16.28515625" customWidth="1"/>
    <col min="22" max="22" width="16.42578125" customWidth="1"/>
    <col min="23" max="23" width="16.140625" customWidth="1"/>
    <col min="24" max="24" width="14.140625" customWidth="1"/>
    <col min="25" max="25" width="12.5703125" customWidth="1"/>
    <col min="26" max="26" width="12" customWidth="1"/>
    <col min="27" max="27" width="14" customWidth="1"/>
    <col min="28" max="28" width="17" customWidth="1"/>
    <col min="29" max="29" width="20.42578125" customWidth="1"/>
    <col min="30" max="30" width="21" customWidth="1"/>
    <col min="31" max="31" width="20.28515625" customWidth="1"/>
    <col min="32" max="32" width="22.5703125" customWidth="1"/>
    <col min="33" max="33" width="24.140625" customWidth="1"/>
    <col min="34" max="34" width="11.5703125" customWidth="1"/>
    <col min="35" max="35" width="21.5703125" customWidth="1"/>
    <col min="36" max="36" width="17.28515625" customWidth="1"/>
    <col min="37" max="37" width="13.42578125" customWidth="1"/>
    <col min="38" max="38" width="12.85546875" customWidth="1"/>
    <col min="39" max="41" width="21.5703125" customWidth="1"/>
    <col min="42" max="42" width="19.42578125" customWidth="1"/>
    <col min="43" max="45" width="20.28515625" customWidth="1"/>
  </cols>
  <sheetData>
    <row r="1" spans="1:10" s="105" customFormat="1">
      <c r="A1" s="4"/>
      <c r="B1" s="106"/>
    </row>
    <row r="2" spans="1:10" s="105" customFormat="1">
      <c r="A2" s="5" t="s">
        <v>236</v>
      </c>
      <c r="B2" s="6">
        <f>ROUNDDOWN(D57/B8/B6/32,0)*32</f>
        <v>9344</v>
      </c>
    </row>
    <row r="3" spans="1:10" s="105" customFormat="1">
      <c r="A3" s="5" t="s">
        <v>237</v>
      </c>
      <c r="B3" s="6">
        <f>ROUNDDOWN(D58/B9/B7/2,0)*2</f>
        <v>7000</v>
      </c>
      <c r="J3" s="109"/>
    </row>
    <row r="4" spans="1:10" s="105" customFormat="1">
      <c r="A4" s="4" t="s">
        <v>238</v>
      </c>
      <c r="B4" s="7">
        <v>9344</v>
      </c>
      <c r="C4" s="107" t="str">
        <f>IF(OR(B4&gt;B2,B4&lt;4),H26,"")</f>
        <v/>
      </c>
    </row>
    <row r="5" spans="1:10" s="105" customFormat="1">
      <c r="A5" s="4" t="s">
        <v>239</v>
      </c>
      <c r="B5" s="7">
        <v>7000</v>
      </c>
      <c r="C5" s="107" t="str">
        <f>IF(OR(B5&gt;B3,B5&lt;2),H27,"")</f>
        <v/>
      </c>
    </row>
    <row r="6" spans="1:10" s="105" customFormat="1">
      <c r="A6" s="4" t="s">
        <v>240</v>
      </c>
      <c r="B6" s="7">
        <v>1</v>
      </c>
      <c r="C6" s="107" t="str">
        <f>IF(OR(AND(B6=2,B8=2),AND(B6=4,B8=4),AND(B6=2,B8=4),AND(B6=4,B8=2)),H29,"")</f>
        <v/>
      </c>
    </row>
    <row r="7" spans="1:10" s="105" customFormat="1">
      <c r="A7" s="4" t="s">
        <v>241</v>
      </c>
      <c r="B7" s="7">
        <v>1</v>
      </c>
      <c r="C7" s="107" t="str">
        <f>IF(OR(AND(B7=2,B9=2),AND(B7=4,B9=4),AND(B7=2,B9=4),AND(B7=4,B9=2)),H30,"")</f>
        <v/>
      </c>
    </row>
    <row r="8" spans="1:10" s="105" customFormat="1">
      <c r="A8" s="5" t="s">
        <v>242</v>
      </c>
      <c r="B8" s="8">
        <v>1</v>
      </c>
    </row>
    <row r="9" spans="1:10" s="105" customFormat="1">
      <c r="A9" s="5" t="s">
        <v>243</v>
      </c>
      <c r="B9" s="8">
        <v>1</v>
      </c>
    </row>
    <row r="10" spans="1:10" s="105" customFormat="1">
      <c r="A10" s="4" t="s">
        <v>244</v>
      </c>
      <c r="B10" s="7">
        <v>30000</v>
      </c>
    </row>
    <row r="11" spans="1:10" s="105" customFormat="1">
      <c r="A11" s="9" t="s">
        <v>245</v>
      </c>
      <c r="B11" s="10">
        <v>0</v>
      </c>
    </row>
    <row r="12" spans="1:10" s="105" customFormat="1">
      <c r="A12" s="4" t="s">
        <v>246</v>
      </c>
      <c r="B12" s="7">
        <v>8</v>
      </c>
    </row>
    <row r="13" spans="1:10" s="105" customFormat="1">
      <c r="A13" s="4" t="s">
        <v>247</v>
      </c>
      <c r="B13" s="7">
        <v>8192</v>
      </c>
    </row>
    <row r="14" spans="1:10" s="105" customFormat="1">
      <c r="A14" s="4" t="s">
        <v>248</v>
      </c>
      <c r="B14" s="7">
        <v>0</v>
      </c>
    </row>
    <row r="15" spans="1:10" s="105" customFormat="1">
      <c r="A15" s="4" t="s">
        <v>249</v>
      </c>
      <c r="B15" s="7">
        <v>31</v>
      </c>
    </row>
    <row r="16" spans="1:10" s="105" customFormat="1">
      <c r="A16" s="4" t="s">
        <v>250</v>
      </c>
      <c r="B16" s="7">
        <v>0</v>
      </c>
    </row>
    <row r="17" spans="1:8" s="105" customFormat="1">
      <c r="A17" s="4" t="s">
        <v>251</v>
      </c>
      <c r="B17" s="7">
        <v>12.5</v>
      </c>
    </row>
    <row r="18" spans="1:8" s="105" customFormat="1">
      <c r="A18" s="4" t="s">
        <v>252</v>
      </c>
      <c r="B18" s="7">
        <v>4</v>
      </c>
    </row>
    <row r="19" spans="1:8" s="105" customFormat="1" ht="18" customHeight="1">
      <c r="A19" s="4" t="s">
        <v>253</v>
      </c>
      <c r="B19" s="7">
        <v>0</v>
      </c>
    </row>
    <row r="20" spans="1:8" s="105" customFormat="1">
      <c r="A20" s="4" t="s">
        <v>254</v>
      </c>
      <c r="B20" s="7">
        <v>5000000000</v>
      </c>
    </row>
    <row r="21" spans="1:8" s="105" customFormat="1">
      <c r="A21" s="4"/>
      <c r="B21" s="11"/>
    </row>
    <row r="22" spans="1:8" s="105" customFormat="1" ht="15.75">
      <c r="A22" s="12"/>
      <c r="B22" s="13"/>
    </row>
    <row r="23" spans="1:8" s="105" customFormat="1" ht="15.75">
      <c r="A23" s="12" t="s">
        <v>255</v>
      </c>
      <c r="B23" s="14">
        <f>K45</f>
        <v>31.610557926347401</v>
      </c>
      <c r="C23" s="107" t="str">
        <f>IF(H32,H28,"")</f>
        <v/>
      </c>
    </row>
    <row r="24" spans="1:8" s="105" customFormat="1" hidden="1"/>
    <row r="25" spans="1:8" s="105" customFormat="1" hidden="1">
      <c r="H25" s="83" t="s">
        <v>256</v>
      </c>
    </row>
    <row r="26" spans="1:8" s="105" customFormat="1" hidden="1">
      <c r="H26" s="83" t="s">
        <v>257</v>
      </c>
    </row>
    <row r="27" spans="1:8" s="105" customFormat="1" hidden="1">
      <c r="H27" s="83" t="s">
        <v>258</v>
      </c>
    </row>
    <row r="28" spans="1:8" s="105" customFormat="1" hidden="1">
      <c r="H28" s="83" t="s">
        <v>259</v>
      </c>
    </row>
    <row r="29" spans="1:8" s="105" customFormat="1" hidden="1">
      <c r="H29" s="83" t="s">
        <v>260</v>
      </c>
    </row>
    <row r="30" spans="1:8" s="105" customFormat="1" hidden="1">
      <c r="H30" s="83" t="s">
        <v>261</v>
      </c>
    </row>
    <row r="31" spans="1:8" s="105" customFormat="1" hidden="1">
      <c r="H31" s="83" t="s">
        <v>262</v>
      </c>
    </row>
    <row r="32" spans="1:8" s="105" customFormat="1" hidden="1">
      <c r="H32" s="83">
        <f>IF(OR(OR(B4&gt;B2,B4&lt;4),OR(B5&gt;B3,B5&lt;2),,OR(AND(B6=2,B8=2),AND(B6=4,B8=4),AND(B6=2,B8=4),AND(B6=4,B8=2)),OR(AND(B7=2,B9=2),AND(B7=4,B9=4),AND(B7=2,B9=4),AND(B7=4,B9=2))),1,0)</f>
        <v>0</v>
      </c>
    </row>
    <row r="33" spans="2:47" s="105" customFormat="1" hidden="1"/>
    <row r="34" spans="2:47" s="105" customFormat="1" hidden="1"/>
    <row r="35" spans="2:47" s="105" customFormat="1" hidden="1"/>
    <row r="36" spans="2:47" s="105" customFormat="1" hidden="1"/>
    <row r="37" spans="2:47" s="105" customFormat="1" hidden="1"/>
    <row r="38" spans="2:47" s="105" customFormat="1" hidden="1"/>
    <row r="39" spans="2:47" s="105" customFormat="1" hidden="1">
      <c r="B39" s="108"/>
      <c r="C39" s="108"/>
      <c r="E39" s="108"/>
      <c r="F39" s="108"/>
      <c r="T39" s="108"/>
      <c r="U39" s="108"/>
      <c r="V39" s="108"/>
      <c r="W39" s="108"/>
      <c r="X39" s="108"/>
      <c r="Y39" s="108"/>
    </row>
    <row r="40" spans="2:47" ht="27.75" hidden="1" customHeight="1">
      <c r="B40" s="15" t="s">
        <v>0</v>
      </c>
      <c r="C40" s="15" t="s">
        <v>1</v>
      </c>
      <c r="D40" s="16" t="s">
        <v>303</v>
      </c>
      <c r="E40" s="17"/>
      <c r="F40" s="17"/>
      <c r="G40" s="17"/>
      <c r="H40" s="314" t="s">
        <v>3</v>
      </c>
      <c r="I40" s="315"/>
      <c r="J40" s="315"/>
      <c r="K40" s="315"/>
      <c r="L40" s="316"/>
      <c r="M40" s="36"/>
      <c r="N40" s="314" t="s">
        <v>4</v>
      </c>
      <c r="O40" s="315"/>
      <c r="P40" s="315"/>
      <c r="Q40" s="315"/>
      <c r="R40" s="316"/>
      <c r="S40" s="36"/>
      <c r="T40" s="339" t="s">
        <v>5</v>
      </c>
      <c r="U40" s="340"/>
      <c r="V40" s="340"/>
      <c r="W40" s="340"/>
      <c r="X40" s="340"/>
      <c r="Y40" s="340"/>
      <c r="Z40" s="340"/>
      <c r="AA40" s="340"/>
      <c r="AB40" s="340"/>
      <c r="AC40" s="340"/>
      <c r="AD40" s="340"/>
      <c r="AE40" s="340"/>
      <c r="AF40" s="340"/>
      <c r="AG40" s="340"/>
      <c r="AH40" s="340"/>
      <c r="AI40" s="340"/>
      <c r="AJ40" s="340"/>
      <c r="AK40" s="340"/>
      <c r="AL40" s="340"/>
      <c r="AM40" s="340"/>
      <c r="AN40" s="340"/>
      <c r="AO40" s="340"/>
      <c r="AP40" s="340"/>
      <c r="AQ40" s="340"/>
      <c r="AR40" s="340"/>
      <c r="AS40" s="340"/>
      <c r="AT40" s="340"/>
      <c r="AU40" s="341"/>
    </row>
    <row r="41" spans="2:47" ht="45" hidden="1">
      <c r="B41" s="314" t="s">
        <v>264</v>
      </c>
      <c r="C41" s="315"/>
      <c r="D41" s="315"/>
      <c r="E41" s="315"/>
      <c r="F41" s="316"/>
      <c r="G41" s="17"/>
      <c r="H41" s="322" t="s">
        <v>7</v>
      </c>
      <c r="I41" s="323"/>
      <c r="J41" s="323"/>
      <c r="K41" s="323"/>
      <c r="L41" s="324"/>
      <c r="M41" s="36"/>
      <c r="N41" s="322" t="s">
        <v>265</v>
      </c>
      <c r="O41" s="323"/>
      <c r="P41" s="323"/>
      <c r="Q41" s="323"/>
      <c r="R41" s="324"/>
      <c r="S41" s="36"/>
      <c r="T41" s="52" t="s">
        <v>9</v>
      </c>
      <c r="U41" s="53" t="s">
        <v>10</v>
      </c>
      <c r="V41" s="53" t="s">
        <v>11</v>
      </c>
      <c r="W41" s="53" t="s">
        <v>266</v>
      </c>
      <c r="X41" s="53" t="s">
        <v>267</v>
      </c>
      <c r="Y41" s="53" t="s">
        <v>268</v>
      </c>
      <c r="Z41" s="53" t="s">
        <v>269</v>
      </c>
      <c r="AA41" s="53" t="s">
        <v>270</v>
      </c>
      <c r="AB41" s="53" t="s">
        <v>271</v>
      </c>
      <c r="AC41" s="53" t="s">
        <v>272</v>
      </c>
      <c r="AD41" s="53" t="s">
        <v>273</v>
      </c>
      <c r="AE41" s="53" t="s">
        <v>274</v>
      </c>
      <c r="AF41" s="53" t="s">
        <v>275</v>
      </c>
      <c r="AG41" s="53" t="s">
        <v>276</v>
      </c>
      <c r="AH41" s="53" t="s">
        <v>277</v>
      </c>
      <c r="AI41" s="53" t="s">
        <v>278</v>
      </c>
      <c r="AJ41" s="53" t="s">
        <v>279</v>
      </c>
      <c r="AK41" s="53" t="s">
        <v>280</v>
      </c>
      <c r="AL41" s="53" t="s">
        <v>281</v>
      </c>
      <c r="AM41" s="53" t="s">
        <v>282</v>
      </c>
      <c r="AN41" s="53" t="s">
        <v>283</v>
      </c>
      <c r="AO41" s="53" t="s">
        <v>284</v>
      </c>
      <c r="AP41" s="53" t="s">
        <v>285</v>
      </c>
      <c r="AQ41" s="53" t="s">
        <v>286</v>
      </c>
      <c r="AR41" s="53" t="s">
        <v>287</v>
      </c>
      <c r="AS41" s="53" t="s">
        <v>288</v>
      </c>
      <c r="AT41" s="53" t="s">
        <v>289</v>
      </c>
      <c r="AU41" s="74" t="s">
        <v>290</v>
      </c>
    </row>
    <row r="42" spans="2:47" ht="30" hidden="1">
      <c r="B42" s="18" t="s">
        <v>40</v>
      </c>
      <c r="C42" s="19" t="s">
        <v>41</v>
      </c>
      <c r="D42" s="19" t="s">
        <v>42</v>
      </c>
      <c r="E42" s="19" t="s">
        <v>43</v>
      </c>
      <c r="F42" s="20" t="s">
        <v>46</v>
      </c>
      <c r="G42" s="17"/>
      <c r="H42" s="21" t="s">
        <v>40</v>
      </c>
      <c r="I42" s="37" t="s">
        <v>41</v>
      </c>
      <c r="J42" s="37" t="s">
        <v>44</v>
      </c>
      <c r="K42" s="37" t="s">
        <v>45</v>
      </c>
      <c r="L42" s="38" t="s">
        <v>46</v>
      </c>
      <c r="M42" s="36"/>
      <c r="N42" s="18" t="s">
        <v>40</v>
      </c>
      <c r="O42" s="19" t="s">
        <v>41</v>
      </c>
      <c r="P42" s="19" t="s">
        <v>44</v>
      </c>
      <c r="Q42" s="19" t="s">
        <v>47</v>
      </c>
      <c r="R42" s="54" t="s">
        <v>46</v>
      </c>
      <c r="S42" s="36"/>
      <c r="T42" s="55" t="s">
        <v>291</v>
      </c>
      <c r="U42" s="56" t="s">
        <v>48</v>
      </c>
      <c r="V42" s="56">
        <v>60</v>
      </c>
      <c r="W42" s="56">
        <v>96</v>
      </c>
      <c r="X42" s="57">
        <v>1</v>
      </c>
      <c r="Y42" s="57">
        <v>48</v>
      </c>
      <c r="Z42" s="57">
        <v>128</v>
      </c>
      <c r="AA42" s="57">
        <v>4</v>
      </c>
      <c r="AB42" s="56">
        <v>5376</v>
      </c>
      <c r="AC42" s="56">
        <v>1</v>
      </c>
      <c r="AD42" s="56">
        <v>5376</v>
      </c>
      <c r="AE42" s="56">
        <v>5184</v>
      </c>
      <c r="AF42" s="57">
        <f>ROUNDUP((7*$Q$44/$Q$43)*1000,0)+ROUNDUP(11*$Q$56,0)</f>
        <v>65250</v>
      </c>
      <c r="AG42" s="57">
        <f>ROUNDUP((7*$Q$60/$Q$43)*1000,0)+ROUNDUP(11*$Q$61,0)</f>
        <v>65250</v>
      </c>
      <c r="AH42" s="72">
        <v>124</v>
      </c>
      <c r="AI42" s="72">
        <v>1</v>
      </c>
      <c r="AJ42" s="72">
        <v>3</v>
      </c>
      <c r="AK42" s="72">
        <v>742</v>
      </c>
      <c r="AL42" s="72">
        <v>6</v>
      </c>
      <c r="AM42" s="72">
        <v>14</v>
      </c>
      <c r="AN42" s="56">
        <v>1</v>
      </c>
      <c r="AO42" s="56" t="s">
        <v>292</v>
      </c>
      <c r="AP42" s="56">
        <v>10000</v>
      </c>
      <c r="AQ42" s="72">
        <v>5120</v>
      </c>
      <c r="AR42" s="72">
        <v>5120</v>
      </c>
      <c r="AS42" s="72">
        <v>150</v>
      </c>
      <c r="AT42" s="56">
        <v>1</v>
      </c>
      <c r="AU42" s="75">
        <v>1</v>
      </c>
    </row>
    <row r="43" spans="2:47" ht="30" hidden="1">
      <c r="B43" s="322" t="s">
        <v>51</v>
      </c>
      <c r="C43" s="323"/>
      <c r="D43" s="323"/>
      <c r="E43" s="323"/>
      <c r="F43" s="324"/>
      <c r="G43" s="17"/>
      <c r="H43" s="22" t="s">
        <v>52</v>
      </c>
      <c r="I43" s="23" t="s">
        <v>53</v>
      </c>
      <c r="J43" s="29" t="s">
        <v>293</v>
      </c>
      <c r="K43" s="39">
        <f>Q61</f>
        <v>4500</v>
      </c>
      <c r="L43" s="40" t="s">
        <v>55</v>
      </c>
      <c r="M43" s="36"/>
      <c r="N43" s="22" t="s">
        <v>56</v>
      </c>
      <c r="O43" s="23" t="s">
        <v>57</v>
      </c>
      <c r="P43" s="23" t="s">
        <v>58</v>
      </c>
      <c r="Q43" s="45">
        <f>VLOOKUP($D$40,$T$42:$AU$49,4,FALSE)</f>
        <v>80</v>
      </c>
      <c r="R43" s="40" t="s">
        <v>59</v>
      </c>
      <c r="S43" s="36"/>
      <c r="T43" s="55" t="s">
        <v>263</v>
      </c>
      <c r="U43" s="56" t="s">
        <v>294</v>
      </c>
      <c r="V43" s="56">
        <v>60</v>
      </c>
      <c r="W43" s="56">
        <v>80</v>
      </c>
      <c r="X43" s="57">
        <v>3</v>
      </c>
      <c r="Y43" s="57">
        <v>38</v>
      </c>
      <c r="Z43" s="57">
        <v>82</v>
      </c>
      <c r="AA43" s="57">
        <v>4</v>
      </c>
      <c r="AB43" s="56">
        <v>16720</v>
      </c>
      <c r="AC43" s="56">
        <v>1</v>
      </c>
      <c r="AD43" s="56">
        <v>16720</v>
      </c>
      <c r="AE43" s="56">
        <v>9256</v>
      </c>
      <c r="AF43" s="57">
        <f>ROUNDUP((6*$Q$44/$Q$43)*1000,0)+ROUNDUP(201*$Q$56,0)</f>
        <v>918000</v>
      </c>
      <c r="AG43" s="57">
        <f>ROUNDUP((6*$Q$60/$Q$43)*1000,0)+ROUNDUP(201*$Q$61,0)</f>
        <v>918000</v>
      </c>
      <c r="AH43" s="72">
        <v>260</v>
      </c>
      <c r="AI43" s="72">
        <v>2</v>
      </c>
      <c r="AJ43" s="72">
        <v>3</v>
      </c>
      <c r="AK43" s="72">
        <v>1500</v>
      </c>
      <c r="AL43" s="72">
        <v>8</v>
      </c>
      <c r="AM43" s="72">
        <v>10</v>
      </c>
      <c r="AN43" s="56">
        <v>1</v>
      </c>
      <c r="AO43" s="56" t="s">
        <v>295</v>
      </c>
      <c r="AP43" s="56">
        <v>60000</v>
      </c>
      <c r="AQ43" s="72">
        <v>16544</v>
      </c>
      <c r="AR43" s="72">
        <v>9200</v>
      </c>
      <c r="AS43" s="72">
        <v>16</v>
      </c>
      <c r="AT43" s="56">
        <v>1</v>
      </c>
      <c r="AU43" s="75">
        <v>1</v>
      </c>
    </row>
    <row r="44" spans="2:47" ht="330" hidden="1">
      <c r="B44" s="22" t="s">
        <v>60</v>
      </c>
      <c r="C44" s="23" t="s">
        <v>51</v>
      </c>
      <c r="D44" s="23" t="str">
        <f>VLOOKUP($D$40,$T$42:$AU$49,22,FALSE)</f>
        <v>像素格式(8/12)</v>
      </c>
      <c r="E44" s="24">
        <f>B12</f>
        <v>8</v>
      </c>
      <c r="F44" s="25" t="s">
        <v>66</v>
      </c>
      <c r="G44" s="17"/>
      <c r="H44" s="22" t="s">
        <v>61</v>
      </c>
      <c r="I44" s="23" t="s">
        <v>62</v>
      </c>
      <c r="J44" s="29" t="s">
        <v>296</v>
      </c>
      <c r="K44" s="39">
        <f>IF(E52=1,IF(E46="TriggerWidth",MAX(K47,K58,K49),MAX(K47,K48,K49)+K56),MAX(K47,K48,K49,K50)+K56)</f>
        <v>31635</v>
      </c>
      <c r="L44" s="40" t="s">
        <v>64</v>
      </c>
      <c r="N44" s="22" t="s">
        <v>297</v>
      </c>
      <c r="O44" s="23" t="s">
        <v>65</v>
      </c>
      <c r="P44" s="23" t="s">
        <v>58</v>
      </c>
      <c r="Q44" s="45">
        <f>VLOOKUP($D$40,$T$42:$AU$49,15,FALSE)</f>
        <v>180</v>
      </c>
      <c r="R44" s="40" t="s">
        <v>298</v>
      </c>
      <c r="T44" s="55" t="s">
        <v>299</v>
      </c>
      <c r="U44" s="56" t="s">
        <v>300</v>
      </c>
      <c r="V44" s="56">
        <v>50</v>
      </c>
      <c r="W44" s="56">
        <v>90</v>
      </c>
      <c r="X44" s="57">
        <v>1</v>
      </c>
      <c r="Y44" s="57">
        <v>56</v>
      </c>
      <c r="Z44" s="57">
        <v>88</v>
      </c>
      <c r="AA44" s="57">
        <v>4</v>
      </c>
      <c r="AB44" s="56">
        <v>9520</v>
      </c>
      <c r="AC44" s="56">
        <v>1</v>
      </c>
      <c r="AD44" s="56">
        <v>9520</v>
      </c>
      <c r="AE44" s="56">
        <v>7056</v>
      </c>
      <c r="AF44" s="57">
        <f>ROUNDUP((6*$Q$44/$Q$43)*1000,0)+ROUNDUP(11*$Q$56,0)</f>
        <v>63000</v>
      </c>
      <c r="AG44" s="57">
        <f>ROUNDUP((6*$Q$60/$Q$43)*1000,0)+ROUNDUP(11*$Q$61,0)</f>
        <v>63000</v>
      </c>
      <c r="AH44" s="72">
        <v>180</v>
      </c>
      <c r="AI44" s="72">
        <v>1</v>
      </c>
      <c r="AJ44" s="72">
        <v>3</v>
      </c>
      <c r="AK44" s="72">
        <v>1068</v>
      </c>
      <c r="AL44" s="72">
        <v>6</v>
      </c>
      <c r="AM44" s="72">
        <v>14</v>
      </c>
      <c r="AN44" s="56">
        <v>1</v>
      </c>
      <c r="AO44" s="56" t="s">
        <v>292</v>
      </c>
      <c r="AP44" s="56">
        <v>10000</v>
      </c>
      <c r="AQ44" s="72">
        <v>9344</v>
      </c>
      <c r="AR44" s="72">
        <v>7000</v>
      </c>
      <c r="AS44" s="72">
        <v>71</v>
      </c>
      <c r="AT44" s="56">
        <v>1</v>
      </c>
      <c r="AU44" s="75">
        <v>1</v>
      </c>
    </row>
    <row r="45" spans="2:47" ht="30" hidden="1">
      <c r="B45" s="322" t="s">
        <v>67</v>
      </c>
      <c r="C45" s="323"/>
      <c r="D45" s="323"/>
      <c r="E45" s="323"/>
      <c r="F45" s="324"/>
      <c r="G45" s="17"/>
      <c r="H45" s="22" t="s">
        <v>68</v>
      </c>
      <c r="I45" s="23" t="s">
        <v>7</v>
      </c>
      <c r="J45" s="29" t="s">
        <v>69</v>
      </c>
      <c r="K45" s="41">
        <f>1000000/K44</f>
        <v>31.610557926347401</v>
      </c>
      <c r="L45" s="40" t="s">
        <v>70</v>
      </c>
      <c r="N45" s="22" t="s">
        <v>301</v>
      </c>
      <c r="O45" s="23" t="s">
        <v>302</v>
      </c>
      <c r="P45" s="23" t="s">
        <v>58</v>
      </c>
      <c r="Q45" s="45">
        <f>VLOOKUP($D$40,$T$42:$AU$49,13,FALSE)</f>
        <v>63000</v>
      </c>
      <c r="R45" s="40" t="s">
        <v>55</v>
      </c>
      <c r="T45" s="60" t="s">
        <v>303</v>
      </c>
      <c r="U45" s="61" t="s">
        <v>300</v>
      </c>
      <c r="V45" s="61">
        <v>60</v>
      </c>
      <c r="W45" s="61">
        <v>80</v>
      </c>
      <c r="X45" s="61">
        <v>1</v>
      </c>
      <c r="Y45" s="61">
        <v>28</v>
      </c>
      <c r="Z45" s="73">
        <v>88</v>
      </c>
      <c r="AA45" s="61">
        <v>4</v>
      </c>
      <c r="AB45" s="110">
        <v>9520</v>
      </c>
      <c r="AC45" s="110">
        <v>1</v>
      </c>
      <c r="AD45" s="110">
        <v>9520</v>
      </c>
      <c r="AE45" s="110">
        <v>7056</v>
      </c>
      <c r="AF45" s="62">
        <f>ROUNDUP((6*$Q$44/$Q$43)*1000,0)+ROUNDUP(11*$Q$56,0)</f>
        <v>63000</v>
      </c>
      <c r="AG45" s="62">
        <f>ROUNDUP((6*$Q$60/$Q$43)*1000,0)+ROUNDUP(11*$Q$61,0)</f>
        <v>63000</v>
      </c>
      <c r="AH45" s="110">
        <v>180</v>
      </c>
      <c r="AI45" s="110">
        <v>2</v>
      </c>
      <c r="AJ45" s="110">
        <v>3</v>
      </c>
      <c r="AK45" s="110">
        <v>1068</v>
      </c>
      <c r="AL45" s="110">
        <v>6</v>
      </c>
      <c r="AM45" s="110">
        <v>14</v>
      </c>
      <c r="AN45" s="110">
        <v>1</v>
      </c>
      <c r="AO45" s="110" t="s">
        <v>295</v>
      </c>
      <c r="AP45" s="110">
        <v>30000</v>
      </c>
      <c r="AQ45" s="110">
        <v>9344</v>
      </c>
      <c r="AR45" s="110">
        <v>7000</v>
      </c>
      <c r="AS45" s="110">
        <v>31</v>
      </c>
      <c r="AT45" s="110">
        <v>1</v>
      </c>
      <c r="AU45" s="77">
        <v>1</v>
      </c>
    </row>
    <row r="46" spans="2:47" ht="30" hidden="1">
      <c r="B46" s="22" t="s">
        <v>304</v>
      </c>
      <c r="C46" s="23" t="s">
        <v>305</v>
      </c>
      <c r="D46" s="23" t="s">
        <v>306</v>
      </c>
      <c r="E46" s="24" t="s">
        <v>306</v>
      </c>
      <c r="F46" s="26" t="s">
        <v>66</v>
      </c>
      <c r="G46" s="17"/>
      <c r="H46" s="322" t="s">
        <v>74</v>
      </c>
      <c r="I46" s="323"/>
      <c r="J46" s="323"/>
      <c r="K46" s="323"/>
      <c r="L46" s="324"/>
      <c r="N46" s="22" t="s">
        <v>307</v>
      </c>
      <c r="O46" s="23" t="s">
        <v>308</v>
      </c>
      <c r="P46" s="23" t="s">
        <v>58</v>
      </c>
      <c r="Q46" s="45">
        <f>VLOOKUP($D$40,$T$42:$AU$49,14,FALSE)</f>
        <v>63000</v>
      </c>
      <c r="R46" s="40" t="s">
        <v>55</v>
      </c>
      <c r="T46" s="36"/>
      <c r="U46" s="36"/>
      <c r="V46" s="36"/>
      <c r="W46" s="36"/>
      <c r="X46" s="36"/>
      <c r="Y46" s="36"/>
      <c r="Z46" s="71"/>
      <c r="AA46" s="71"/>
    </row>
    <row r="47" spans="2:47" ht="30" hidden="1">
      <c r="B47" s="27" t="str">
        <f>"交叠曝光时间
(0-"&amp;D47&amp;")"</f>
        <v>交叠曝光时间
(0-31572)</v>
      </c>
      <c r="C47" s="23" t="s">
        <v>309</v>
      </c>
      <c r="D47" s="23">
        <f>K47-ROUNDUP(Q46/1000,0)</f>
        <v>31572</v>
      </c>
      <c r="E47" s="24">
        <v>59872</v>
      </c>
      <c r="F47" s="26" t="s">
        <v>64</v>
      </c>
      <c r="G47" s="17"/>
      <c r="H47" s="22" t="s">
        <v>79</v>
      </c>
      <c r="I47" s="23" t="s">
        <v>80</v>
      </c>
      <c r="J47" s="29" t="s">
        <v>310</v>
      </c>
      <c r="K47" s="42">
        <f>Q62</f>
        <v>31635</v>
      </c>
      <c r="L47" s="43" t="s">
        <v>64</v>
      </c>
      <c r="N47" s="22" t="s">
        <v>311</v>
      </c>
      <c r="O47" s="23" t="s">
        <v>312</v>
      </c>
      <c r="P47" s="23" t="s">
        <v>58</v>
      </c>
      <c r="Q47" s="45">
        <f>VLOOKUP($D$40,$T$42:$AU$49,16,FALSE)</f>
        <v>2</v>
      </c>
      <c r="R47" s="40" t="s">
        <v>66</v>
      </c>
      <c r="T47" s="36"/>
      <c r="U47" s="36"/>
      <c r="V47" s="36"/>
      <c r="W47" s="36"/>
      <c r="X47" s="36"/>
      <c r="Y47" s="36"/>
      <c r="Z47" s="71"/>
      <c r="AA47" s="71"/>
    </row>
    <row r="48" spans="2:47" ht="75" hidden="1">
      <c r="B48" s="23" t="s">
        <v>67</v>
      </c>
      <c r="C48" s="23" t="s">
        <v>313</v>
      </c>
      <c r="D48" s="23">
        <f>VLOOKUP($D$40,$T$42:$AU$49,23,FALSE)</f>
        <v>30000</v>
      </c>
      <c r="E48" s="24">
        <f>B10</f>
        <v>30000</v>
      </c>
      <c r="F48" s="26" t="s">
        <v>64</v>
      </c>
      <c r="G48" s="17"/>
      <c r="H48" s="22" t="s">
        <v>87</v>
      </c>
      <c r="I48" s="23" t="s">
        <v>88</v>
      </c>
      <c r="J48" s="29" t="s">
        <v>314</v>
      </c>
      <c r="K48" s="44">
        <f>ROUNDUP(E48-Q50/Q43+(Q49+Q54)*K43/1000+E49+Q46/1000,0)</f>
        <v>30068</v>
      </c>
      <c r="L48" s="43" t="s">
        <v>64</v>
      </c>
      <c r="N48" s="22" t="s">
        <v>315</v>
      </c>
      <c r="O48" s="23" t="s">
        <v>316</v>
      </c>
      <c r="P48" s="23" t="s">
        <v>58</v>
      </c>
      <c r="Q48" s="45">
        <f>VLOOKUP($D$40,$T$42:$AU$49,20,FALSE)</f>
        <v>14</v>
      </c>
      <c r="R48" s="40" t="s">
        <v>317</v>
      </c>
      <c r="T48" s="36"/>
      <c r="U48" s="36"/>
      <c r="V48" s="36"/>
      <c r="W48" s="36"/>
      <c r="X48" s="36"/>
      <c r="Y48" s="36"/>
      <c r="Z48" s="71"/>
      <c r="AA48" s="71"/>
    </row>
    <row r="49" spans="2:24" ht="60" hidden="1">
      <c r="B49" s="23" t="s">
        <v>78</v>
      </c>
      <c r="C49" s="23" t="s">
        <v>318</v>
      </c>
      <c r="D49" s="23">
        <v>0</v>
      </c>
      <c r="E49" s="24">
        <f>B11</f>
        <v>0</v>
      </c>
      <c r="F49" s="26" t="s">
        <v>64</v>
      </c>
      <c r="G49" s="17"/>
      <c r="H49" s="22" t="s">
        <v>93</v>
      </c>
      <c r="I49" s="23" t="s">
        <v>94</v>
      </c>
      <c r="J49" s="23" t="s">
        <v>95</v>
      </c>
      <c r="K49" s="45">
        <f>ROUNDUP((1000000/E67)*E66,0)</f>
        <v>0</v>
      </c>
      <c r="L49" s="40" t="s">
        <v>64</v>
      </c>
      <c r="N49" s="22" t="s">
        <v>319</v>
      </c>
      <c r="O49" s="23" t="s">
        <v>320</v>
      </c>
      <c r="P49" s="23" t="s">
        <v>58</v>
      </c>
      <c r="Q49" s="45">
        <f>VLOOKUP($D$40,$T$42:$AU$49,17,FALSE)</f>
        <v>3</v>
      </c>
      <c r="R49" s="40" t="s">
        <v>317</v>
      </c>
    </row>
    <row r="50" spans="2:24" ht="105" hidden="1">
      <c r="B50" s="28" t="s">
        <v>321</v>
      </c>
      <c r="C50" s="29" t="s">
        <v>322</v>
      </c>
      <c r="D50" s="29" t="s">
        <v>66</v>
      </c>
      <c r="E50" s="24">
        <v>60000</v>
      </c>
      <c r="F50" s="26" t="s">
        <v>64</v>
      </c>
      <c r="G50" s="17"/>
      <c r="H50" s="22" t="s">
        <v>97</v>
      </c>
      <c r="I50" s="23" t="s">
        <v>323</v>
      </c>
      <c r="J50" s="23" t="s">
        <v>324</v>
      </c>
      <c r="K50" s="45">
        <f>E63*Q87</f>
        <v>0</v>
      </c>
      <c r="L50" s="40" t="s">
        <v>64</v>
      </c>
      <c r="N50" s="22" t="s">
        <v>325</v>
      </c>
      <c r="O50" s="23" t="s">
        <v>326</v>
      </c>
      <c r="P50" s="23" t="s">
        <v>58</v>
      </c>
      <c r="Q50" s="45">
        <f>VLOOKUP($D$40,$T$42:$AU$49,18,FALSE)</f>
        <v>1068</v>
      </c>
      <c r="R50" s="40" t="s">
        <v>327</v>
      </c>
    </row>
    <row r="51" spans="2:24" ht="30" hidden="1">
      <c r="B51" s="322" t="s">
        <v>328</v>
      </c>
      <c r="C51" s="323"/>
      <c r="D51" s="323"/>
      <c r="E51" s="323"/>
      <c r="F51" s="324"/>
      <c r="G51" s="17"/>
      <c r="H51" s="22" t="s">
        <v>329</v>
      </c>
      <c r="I51" s="29" t="s">
        <v>330</v>
      </c>
      <c r="J51" s="29" t="s">
        <v>331</v>
      </c>
      <c r="K51" s="45">
        <f>Q88</f>
        <v>13450</v>
      </c>
      <c r="L51" s="40" t="s">
        <v>64</v>
      </c>
      <c r="N51" s="22" t="s">
        <v>332</v>
      </c>
      <c r="O51" s="23" t="s">
        <v>333</v>
      </c>
      <c r="P51" s="23" t="s">
        <v>58</v>
      </c>
      <c r="Q51" s="45">
        <f>VLOOKUP($D$40,$T$42:$AU$49,19,FALSE)</f>
        <v>6</v>
      </c>
      <c r="R51" s="40" t="s">
        <v>317</v>
      </c>
    </row>
    <row r="52" spans="2:24" ht="30" hidden="1">
      <c r="B52" s="30" t="s">
        <v>334</v>
      </c>
      <c r="C52" s="29" t="s">
        <v>248</v>
      </c>
      <c r="D52" s="29">
        <v>0</v>
      </c>
      <c r="E52" s="31">
        <f>B14</f>
        <v>0</v>
      </c>
      <c r="F52" s="32" t="s">
        <v>66</v>
      </c>
      <c r="G52" s="17"/>
      <c r="H52" s="322" t="s">
        <v>335</v>
      </c>
      <c r="I52" s="323"/>
      <c r="J52" s="323"/>
      <c r="K52" s="323"/>
      <c r="L52" s="324"/>
      <c r="N52" s="22" t="s">
        <v>336</v>
      </c>
      <c r="O52" s="23" t="s">
        <v>337</v>
      </c>
      <c r="P52" s="23" t="s">
        <v>58</v>
      </c>
      <c r="Q52" s="45">
        <f>VLOOKUP($D$40,$T$42:$AU$49,28,FALSE)</f>
        <v>1</v>
      </c>
      <c r="R52" s="40" t="s">
        <v>317</v>
      </c>
    </row>
    <row r="53" spans="2:24" ht="90" hidden="1">
      <c r="B53" s="23" t="s">
        <v>92</v>
      </c>
      <c r="C53" s="23" t="s">
        <v>338</v>
      </c>
      <c r="D53" s="23">
        <v>0</v>
      </c>
      <c r="E53" s="24">
        <v>0</v>
      </c>
      <c r="F53" s="25" t="s">
        <v>64</v>
      </c>
      <c r="G53" s="17"/>
      <c r="H53" s="30" t="s">
        <v>73</v>
      </c>
      <c r="I53" s="29" t="s">
        <v>339</v>
      </c>
      <c r="J53" s="29" t="s">
        <v>340</v>
      </c>
      <c r="K53" s="42">
        <f>ROUNDUP((1000*E48-1000*Q50/Q43)/1000,0)</f>
        <v>29987</v>
      </c>
      <c r="L53" s="43" t="s">
        <v>64</v>
      </c>
      <c r="N53" s="22" t="s">
        <v>341</v>
      </c>
      <c r="O53" s="23" t="s">
        <v>342</v>
      </c>
      <c r="P53" s="23" t="s">
        <v>58</v>
      </c>
      <c r="Q53" s="45">
        <f>VLOOKUP($D$40,$T$42:$AU$49,27,FALSE)</f>
        <v>1</v>
      </c>
      <c r="R53" s="129" t="s">
        <v>66</v>
      </c>
      <c r="S53" s="36"/>
    </row>
    <row r="54" spans="2:24" ht="30" hidden="1">
      <c r="B54" s="322" t="s">
        <v>343</v>
      </c>
      <c r="C54" s="323"/>
      <c r="D54" s="323"/>
      <c r="E54" s="323"/>
      <c r="F54" s="324"/>
      <c r="G54" s="17"/>
      <c r="H54" s="30" t="s">
        <v>344</v>
      </c>
      <c r="I54" s="29" t="s">
        <v>345</v>
      </c>
      <c r="J54" s="29" t="s">
        <v>318</v>
      </c>
      <c r="K54" s="42">
        <f>E49</f>
        <v>0</v>
      </c>
      <c r="L54" s="43" t="s">
        <v>64</v>
      </c>
      <c r="N54" s="22" t="s">
        <v>346</v>
      </c>
      <c r="O54" s="23" t="s">
        <v>347</v>
      </c>
      <c r="P54" s="23" t="s">
        <v>58</v>
      </c>
      <c r="Q54" s="45">
        <f>VLOOKUP($D$40,$T$42:$AU$49,21,FALSE)</f>
        <v>1</v>
      </c>
      <c r="R54" s="40" t="s">
        <v>317</v>
      </c>
      <c r="S54" s="36"/>
    </row>
    <row r="55" spans="2:24" ht="195" hidden="1">
      <c r="B55" s="22" t="s">
        <v>348</v>
      </c>
      <c r="C55" s="23" t="s">
        <v>349</v>
      </c>
      <c r="D55" s="23">
        <v>0</v>
      </c>
      <c r="E55" s="24">
        <v>0</v>
      </c>
      <c r="F55" s="25" t="s">
        <v>298</v>
      </c>
      <c r="G55" s="17"/>
      <c r="H55" s="30" t="s">
        <v>350</v>
      </c>
      <c r="I55" s="29" t="s">
        <v>351</v>
      </c>
      <c r="J55" s="29" t="s">
        <v>352</v>
      </c>
      <c r="K55" s="44">
        <f>IF(Q53=1,IF((MAX(K47,K48,K49,K51)-K53)&lt;K47,(IF((MAX(K47,K48,K49,K51)-K53)&gt;=(K47-ROUNDUP(Q51*K43/1000,0)),1,0)),0),0)</f>
        <v>0</v>
      </c>
      <c r="L55" s="46" t="s">
        <v>66</v>
      </c>
      <c r="N55" s="322" t="s">
        <v>353</v>
      </c>
      <c r="O55" s="323"/>
      <c r="P55" s="323"/>
      <c r="Q55" s="323"/>
      <c r="R55" s="324"/>
      <c r="S55" s="36"/>
      <c r="T55" s="335" t="s">
        <v>354</v>
      </c>
      <c r="U55" s="336"/>
      <c r="V55" s="336"/>
      <c r="W55" s="336"/>
      <c r="X55" s="337"/>
    </row>
    <row r="56" spans="2:24" ht="90" hidden="1">
      <c r="B56" s="30" t="s">
        <v>355</v>
      </c>
      <c r="C56" s="29" t="s">
        <v>356</v>
      </c>
      <c r="D56" s="29">
        <v>0</v>
      </c>
      <c r="E56" s="31">
        <v>0</v>
      </c>
      <c r="F56" s="26" t="s">
        <v>298</v>
      </c>
      <c r="G56" s="17"/>
      <c r="H56" s="30" t="s">
        <v>357</v>
      </c>
      <c r="I56" s="29" t="s">
        <v>358</v>
      </c>
      <c r="J56" s="29" t="s">
        <v>359</v>
      </c>
      <c r="K56" s="42">
        <f>IF(K55=1,K47-(MAX(K47,K48,K49,K51)-K53),0)</f>
        <v>0</v>
      </c>
      <c r="L56" s="46" t="s">
        <v>64</v>
      </c>
      <c r="N56" s="22" t="s">
        <v>360</v>
      </c>
      <c r="O56" s="23" t="s">
        <v>361</v>
      </c>
      <c r="P56" s="23" t="s">
        <v>362</v>
      </c>
      <c r="Q56" s="45">
        <f>ROUNDUP(1000*Q47*Q44/Q43,0)</f>
        <v>4500</v>
      </c>
      <c r="R56" s="40" t="s">
        <v>55</v>
      </c>
      <c r="T56" s="18" t="s">
        <v>152</v>
      </c>
      <c r="U56" s="19" t="s">
        <v>154</v>
      </c>
      <c r="V56" s="19" t="s">
        <v>41</v>
      </c>
      <c r="W56" s="19" t="s">
        <v>44</v>
      </c>
      <c r="X56" s="20" t="s">
        <v>155</v>
      </c>
    </row>
    <row r="57" spans="2:24" ht="75" hidden="1">
      <c r="B57" s="30" t="s">
        <v>363</v>
      </c>
      <c r="C57" s="29" t="s">
        <v>238</v>
      </c>
      <c r="D57" s="29">
        <f>VLOOKUP($D$40,$T$42:$AU$49,24,FALSE)</f>
        <v>9344</v>
      </c>
      <c r="E57" s="31">
        <f>B4</f>
        <v>9344</v>
      </c>
      <c r="F57" s="26" t="s">
        <v>298</v>
      </c>
      <c r="G57" s="17"/>
      <c r="H57" s="322" t="s">
        <v>364</v>
      </c>
      <c r="I57" s="323"/>
      <c r="J57" s="323"/>
      <c r="K57" s="323"/>
      <c r="L57" s="324"/>
      <c r="N57" s="22" t="s">
        <v>365</v>
      </c>
      <c r="O57" s="23" t="s">
        <v>366</v>
      </c>
      <c r="P57" s="23" t="s">
        <v>367</v>
      </c>
      <c r="Q57" s="44">
        <f>INT((E58*E73*Q56)/1000)</f>
        <v>31500</v>
      </c>
      <c r="R57" s="40" t="s">
        <v>64</v>
      </c>
      <c r="T57" s="63" t="s">
        <v>368</v>
      </c>
      <c r="U57" s="56" t="s">
        <v>369</v>
      </c>
      <c r="V57" s="64" t="s">
        <v>370</v>
      </c>
      <c r="W57" s="23" t="s">
        <v>318</v>
      </c>
      <c r="X57" s="32" t="str">
        <f>DEC2HEX(E49)</f>
        <v>0</v>
      </c>
    </row>
    <row r="58" spans="2:24" ht="225" hidden="1">
      <c r="B58" s="30" t="s">
        <v>371</v>
      </c>
      <c r="C58" s="29" t="s">
        <v>239</v>
      </c>
      <c r="D58" s="29">
        <f>VLOOKUP($D$40,$T$42:$AU$49,25,FALSE)</f>
        <v>7000</v>
      </c>
      <c r="E58" s="31">
        <f>B5</f>
        <v>7000</v>
      </c>
      <c r="F58" s="26" t="s">
        <v>298</v>
      </c>
      <c r="H58" s="30" t="s">
        <v>372</v>
      </c>
      <c r="I58" s="29" t="s">
        <v>373</v>
      </c>
      <c r="J58" s="29" t="s">
        <v>374</v>
      </c>
      <c r="K58" s="42" t="str">
        <f>IF(AND(E52=1,E46="TriggerWidth"),ROUNDUP(Q62+IF(E50&gt;E47,E50-E47,0)+Q54*Q61/1000,0),"null")</f>
        <v>null</v>
      </c>
      <c r="L58" s="46" t="s">
        <v>64</v>
      </c>
      <c r="N58" s="22" t="s">
        <v>375</v>
      </c>
      <c r="O58" s="23" t="s">
        <v>376</v>
      </c>
      <c r="P58" s="23" t="s">
        <v>377</v>
      </c>
      <c r="Q58" s="45">
        <f>IF(K51&lt;=Q57,0,K51-Q57)</f>
        <v>0</v>
      </c>
      <c r="R58" s="40" t="s">
        <v>64</v>
      </c>
      <c r="T58" s="65" t="s">
        <v>378</v>
      </c>
      <c r="U58" s="56" t="s">
        <v>379</v>
      </c>
      <c r="V58" s="64" t="s">
        <v>380</v>
      </c>
      <c r="W58" s="23" t="s">
        <v>73</v>
      </c>
      <c r="X58" s="66" t="str">
        <f>DEC2HEX(K53)</f>
        <v>7523</v>
      </c>
    </row>
    <row r="59" spans="2:24" ht="330" hidden="1">
      <c r="B59" s="322" t="s">
        <v>381</v>
      </c>
      <c r="C59" s="323"/>
      <c r="D59" s="323"/>
      <c r="E59" s="323"/>
      <c r="F59" s="324"/>
      <c r="H59" s="30" t="s">
        <v>382</v>
      </c>
      <c r="I59" s="29" t="s">
        <v>383</v>
      </c>
      <c r="J59" s="29" t="s">
        <v>384</v>
      </c>
      <c r="K59" s="42" t="str">
        <f>IF(AND(E52=1,E46="TriggerWidth"),ROUNDUP(IF(E50&gt;E47,E50-K43*Q49/1000+Q50/Q43,E47-K43*Q49/1000+Q50/Q43),0),"null")</f>
        <v>null</v>
      </c>
      <c r="L59" s="46" t="s">
        <v>64</v>
      </c>
      <c r="N59" s="22" t="s">
        <v>385</v>
      </c>
      <c r="O59" s="23" t="s">
        <v>386</v>
      </c>
      <c r="P59" s="23" t="s">
        <v>387</v>
      </c>
      <c r="Q59" s="45">
        <f>ROUNDUP(1000*Q58/(E58*E73),0)</f>
        <v>0</v>
      </c>
      <c r="R59" s="40" t="s">
        <v>55</v>
      </c>
      <c r="T59" s="65" t="s">
        <v>388</v>
      </c>
      <c r="U59" s="56" t="s">
        <v>389</v>
      </c>
      <c r="V59" s="64" t="s">
        <v>390</v>
      </c>
      <c r="W59" s="23" t="s">
        <v>79</v>
      </c>
      <c r="X59" s="66" t="str">
        <f>DEC2HEX(K47)</f>
        <v>7B93</v>
      </c>
    </row>
    <row r="60" spans="2:24" ht="105" hidden="1">
      <c r="B60" s="30" t="s">
        <v>391</v>
      </c>
      <c r="C60" s="29" t="s">
        <v>251</v>
      </c>
      <c r="D60" s="33" t="s">
        <v>66</v>
      </c>
      <c r="E60" s="31">
        <f>B17</f>
        <v>12.5</v>
      </c>
      <c r="F60" s="26" t="s">
        <v>392</v>
      </c>
      <c r="H60" s="322" t="s">
        <v>393</v>
      </c>
      <c r="I60" s="323"/>
      <c r="J60" s="323"/>
      <c r="K60" s="323"/>
      <c r="L60" s="324"/>
      <c r="N60" s="22" t="s">
        <v>65</v>
      </c>
      <c r="O60" s="23" t="s">
        <v>394</v>
      </c>
      <c r="P60" s="23" t="s">
        <v>395</v>
      </c>
      <c r="Q60" s="45">
        <f>ROUNDUP((ROUNDUP(Q59*Q43/Q47/1000,0)+Q44)/4,0)*4</f>
        <v>180</v>
      </c>
      <c r="R60" s="40" t="s">
        <v>298</v>
      </c>
      <c r="T60" s="65" t="s">
        <v>396</v>
      </c>
      <c r="U60" s="56" t="s">
        <v>397</v>
      </c>
      <c r="V60" s="64" t="s">
        <v>398</v>
      </c>
      <c r="W60" s="23" t="s">
        <v>399</v>
      </c>
      <c r="X60" s="66" t="str">
        <f>DEC2HEX(MAX(K47,K48,K49,K50))</f>
        <v>7B93</v>
      </c>
    </row>
    <row r="61" spans="2:24" ht="75" hidden="1">
      <c r="B61" s="30" t="s">
        <v>400</v>
      </c>
      <c r="C61" s="29" t="s">
        <v>252</v>
      </c>
      <c r="D61" s="33" t="s">
        <v>66</v>
      </c>
      <c r="E61" s="31">
        <f>B18</f>
        <v>4</v>
      </c>
      <c r="F61" s="26" t="s">
        <v>66</v>
      </c>
      <c r="H61" s="30" t="s">
        <v>401</v>
      </c>
      <c r="I61" s="29" t="s">
        <v>402</v>
      </c>
      <c r="J61" s="29" t="s">
        <v>403</v>
      </c>
      <c r="K61" s="42">
        <f>K45*4*Q76*E58/1000000</f>
        <v>2067.5833728465309</v>
      </c>
      <c r="L61" s="32" t="s">
        <v>141</v>
      </c>
      <c r="N61" s="22" t="s">
        <v>293</v>
      </c>
      <c r="O61" s="23" t="s">
        <v>404</v>
      </c>
      <c r="P61" s="23" t="s">
        <v>405</v>
      </c>
      <c r="Q61" s="45">
        <f>ROUNDUP(1000*Q47*Q60/Q43,0)</f>
        <v>4500</v>
      </c>
      <c r="R61" s="40" t="s">
        <v>55</v>
      </c>
      <c r="T61" s="65" t="s">
        <v>406</v>
      </c>
      <c r="U61" s="56" t="s">
        <v>407</v>
      </c>
      <c r="V61" s="64" t="s">
        <v>408</v>
      </c>
      <c r="W61" s="23" t="s">
        <v>409</v>
      </c>
      <c r="X61" s="66" t="str">
        <f>DEC2HEX(MAX(K47,K48,K49))</f>
        <v>7B93</v>
      </c>
    </row>
    <row r="62" spans="2:24" ht="105" hidden="1">
      <c r="B62" s="30" t="s">
        <v>410</v>
      </c>
      <c r="C62" s="29" t="s">
        <v>247</v>
      </c>
      <c r="D62" s="33">
        <v>16384</v>
      </c>
      <c r="E62" s="31">
        <f>B13</f>
        <v>8192</v>
      </c>
      <c r="F62" s="26" t="s">
        <v>116</v>
      </c>
      <c r="H62" s="34" t="s">
        <v>411</v>
      </c>
      <c r="I62" s="47" t="s">
        <v>412</v>
      </c>
      <c r="J62" s="29" t="s">
        <v>413</v>
      </c>
      <c r="K62" s="42">
        <f>4*K45*Q82/1000000</f>
        <v>2081.5300774458669</v>
      </c>
      <c r="L62" s="32" t="s">
        <v>141</v>
      </c>
      <c r="N62" s="22" t="s">
        <v>310</v>
      </c>
      <c r="O62" s="23" t="s">
        <v>414</v>
      </c>
      <c r="P62" s="23" t="s">
        <v>415</v>
      </c>
      <c r="Q62" s="45">
        <f>ROUNDUP(((E58*E73+Q48+Q52+Q54)*Q61+Q46)/1000,0)</f>
        <v>31635</v>
      </c>
      <c r="R62" s="40" t="s">
        <v>64</v>
      </c>
      <c r="T62" s="65" t="s">
        <v>416</v>
      </c>
      <c r="U62" s="56" t="s">
        <v>417</v>
      </c>
      <c r="V62" s="64" t="s">
        <v>418</v>
      </c>
      <c r="W62" s="23" t="s">
        <v>419</v>
      </c>
      <c r="X62" s="66" t="str">
        <f>DEC2HEX(MAX(K47,K48))</f>
        <v>7B93</v>
      </c>
    </row>
    <row r="63" spans="2:24" ht="39" hidden="1" customHeight="1">
      <c r="B63" s="30" t="s">
        <v>420</v>
      </c>
      <c r="C63" s="29" t="s">
        <v>253</v>
      </c>
      <c r="D63" s="33">
        <v>0</v>
      </c>
      <c r="E63" s="24">
        <f>B19</f>
        <v>0</v>
      </c>
      <c r="F63" s="26" t="s">
        <v>66</v>
      </c>
      <c r="H63" s="34" t="s">
        <v>421</v>
      </c>
      <c r="I63" s="47" t="s">
        <v>422</v>
      </c>
      <c r="J63" s="29" t="s">
        <v>423</v>
      </c>
      <c r="K63" s="42">
        <f>E61*E60*8*1000*(100-E76)/100/10/8</f>
        <v>4950</v>
      </c>
      <c r="L63" s="32" t="s">
        <v>141</v>
      </c>
      <c r="N63" s="325" t="s">
        <v>424</v>
      </c>
      <c r="O63" s="326"/>
      <c r="P63" s="326"/>
      <c r="Q63" s="326"/>
      <c r="R63" s="327"/>
      <c r="T63" s="63" t="s">
        <v>425</v>
      </c>
      <c r="U63" s="56" t="s">
        <v>426</v>
      </c>
      <c r="V63" s="64" t="s">
        <v>427</v>
      </c>
      <c r="W63" s="23" t="s">
        <v>428</v>
      </c>
      <c r="X63" s="32" t="str">
        <f>DEC2HEX(IF(Q53=1,ROUNDUP(6*K43/1000,0),0))</f>
        <v>1B</v>
      </c>
    </row>
    <row r="64" spans="2:24" ht="36.75" hidden="1" customHeight="1">
      <c r="B64" s="30" t="s">
        <v>429</v>
      </c>
      <c r="C64" s="29" t="s">
        <v>254</v>
      </c>
      <c r="D64" s="33">
        <v>5000000000</v>
      </c>
      <c r="E64" s="31">
        <f>B20</f>
        <v>5000000000</v>
      </c>
      <c r="F64" s="26" t="s">
        <v>430</v>
      </c>
      <c r="H64" s="35" t="s">
        <v>431</v>
      </c>
      <c r="I64" s="48" t="s">
        <v>432</v>
      </c>
      <c r="J64" s="49" t="s">
        <v>433</v>
      </c>
      <c r="K64" s="50">
        <f>4*Q76*1000000000/Q61/1000000</f>
        <v>2076.4444444444443</v>
      </c>
      <c r="L64" s="51" t="s">
        <v>141</v>
      </c>
      <c r="N64" s="18" t="s">
        <v>40</v>
      </c>
      <c r="O64" s="19" t="s">
        <v>41</v>
      </c>
      <c r="P64" s="19" t="s">
        <v>44</v>
      </c>
      <c r="Q64" s="19" t="s">
        <v>47</v>
      </c>
      <c r="R64" s="54" t="s">
        <v>46</v>
      </c>
      <c r="T64" s="63" t="s">
        <v>434</v>
      </c>
      <c r="U64" s="56" t="s">
        <v>435</v>
      </c>
      <c r="V64" s="64" t="s">
        <v>436</v>
      </c>
      <c r="W64" s="23" t="s">
        <v>305</v>
      </c>
      <c r="X64" s="67">
        <f>IF(AND(E52=1,E46="TriggerWidth"),1,0)</f>
        <v>0</v>
      </c>
    </row>
    <row r="65" spans="2:24" ht="40.5" hidden="1" customHeight="1">
      <c r="B65" s="322" t="s">
        <v>437</v>
      </c>
      <c r="C65" s="323"/>
      <c r="D65" s="323"/>
      <c r="E65" s="323"/>
      <c r="F65" s="324"/>
      <c r="N65" s="22" t="s">
        <v>438</v>
      </c>
      <c r="O65" s="23" t="s">
        <v>439</v>
      </c>
      <c r="P65" s="23" t="s">
        <v>440</v>
      </c>
      <c r="Q65" s="45">
        <v>1</v>
      </c>
      <c r="R65" s="40" t="s">
        <v>441</v>
      </c>
      <c r="T65" s="87" t="s">
        <v>442</v>
      </c>
      <c r="U65" s="56" t="s">
        <v>443</v>
      </c>
      <c r="V65" s="29" t="s">
        <v>444</v>
      </c>
      <c r="W65" s="29" t="s">
        <v>66</v>
      </c>
      <c r="X65" s="67">
        <v>1</v>
      </c>
    </row>
    <row r="66" spans="2:24" ht="40.5" hidden="1" customHeight="1">
      <c r="B66" s="22" t="s">
        <v>445</v>
      </c>
      <c r="C66" s="23" t="s">
        <v>446</v>
      </c>
      <c r="D66" s="23">
        <v>0</v>
      </c>
      <c r="E66" s="24">
        <f>B16</f>
        <v>0</v>
      </c>
      <c r="F66" s="25" t="s">
        <v>66</v>
      </c>
      <c r="N66" s="22" t="s">
        <v>447</v>
      </c>
      <c r="O66" s="23" t="s">
        <v>448</v>
      </c>
      <c r="P66" s="23" t="s">
        <v>440</v>
      </c>
      <c r="Q66" s="45">
        <v>1</v>
      </c>
      <c r="R66" s="40" t="s">
        <v>441</v>
      </c>
      <c r="T66" s="342" t="s">
        <v>449</v>
      </c>
      <c r="U66" s="343"/>
      <c r="V66" s="343"/>
      <c r="W66" s="343"/>
      <c r="X66" s="344"/>
    </row>
    <row r="67" spans="2:24" ht="42" hidden="1" customHeight="1">
      <c r="B67" s="78" t="s">
        <v>183</v>
      </c>
      <c r="C67" s="79" t="s">
        <v>450</v>
      </c>
      <c r="D67" s="79">
        <f>VLOOKUP($D$40,$T$42:$AU$49,26,FALSE)</f>
        <v>31</v>
      </c>
      <c r="E67" s="80">
        <f>B15</f>
        <v>31</v>
      </c>
      <c r="F67" s="81" t="s">
        <v>70</v>
      </c>
      <c r="N67" s="22" t="s">
        <v>451</v>
      </c>
      <c r="O67" s="23" t="s">
        <v>452</v>
      </c>
      <c r="P67" s="23" t="s">
        <v>453</v>
      </c>
      <c r="Q67" s="45">
        <v>4</v>
      </c>
      <c r="R67" s="40" t="s">
        <v>441</v>
      </c>
      <c r="T67" s="18" t="s">
        <v>152</v>
      </c>
      <c r="U67" s="19" t="s">
        <v>154</v>
      </c>
      <c r="V67" s="19" t="s">
        <v>41</v>
      </c>
      <c r="W67" s="19" t="s">
        <v>44</v>
      </c>
      <c r="X67" s="20" t="s">
        <v>155</v>
      </c>
    </row>
    <row r="68" spans="2:24" ht="41.25" hidden="1" customHeight="1">
      <c r="B68" s="322" t="s">
        <v>454</v>
      </c>
      <c r="C68" s="323"/>
      <c r="D68" s="323"/>
      <c r="E68" s="323"/>
      <c r="F68" s="324"/>
      <c r="N68" s="22" t="s">
        <v>455</v>
      </c>
      <c r="O68" s="23" t="s">
        <v>456</v>
      </c>
      <c r="P68" s="23" t="s">
        <v>440</v>
      </c>
      <c r="Q68" s="45">
        <v>1</v>
      </c>
      <c r="R68" s="40" t="s">
        <v>441</v>
      </c>
      <c r="T68" s="63" t="s">
        <v>457</v>
      </c>
      <c r="U68" s="56" t="s">
        <v>458</v>
      </c>
      <c r="V68" s="64" t="s">
        <v>459</v>
      </c>
      <c r="W68" s="23" t="s">
        <v>457</v>
      </c>
      <c r="X68" s="32" t="str">
        <f>DEC2HEX(Q76)</f>
        <v>920</v>
      </c>
    </row>
    <row r="69" spans="2:24" ht="45" hidden="1">
      <c r="B69" s="22" t="s">
        <v>460</v>
      </c>
      <c r="C69" s="23" t="s">
        <v>461</v>
      </c>
      <c r="D69" s="23">
        <v>1</v>
      </c>
      <c r="E69" s="24">
        <f>B8</f>
        <v>1</v>
      </c>
      <c r="F69" s="25" t="s">
        <v>66</v>
      </c>
      <c r="N69" s="22" t="s">
        <v>462</v>
      </c>
      <c r="O69" s="23" t="s">
        <v>463</v>
      </c>
      <c r="P69" s="23" t="s">
        <v>440</v>
      </c>
      <c r="Q69" s="45">
        <v>1</v>
      </c>
      <c r="R69" s="40" t="s">
        <v>441</v>
      </c>
      <c r="T69" s="88" t="s">
        <v>464</v>
      </c>
      <c r="U69" s="56" t="s">
        <v>465</v>
      </c>
      <c r="V69" s="64" t="s">
        <v>466</v>
      </c>
      <c r="W69" s="23" t="s">
        <v>464</v>
      </c>
      <c r="X69" s="89" t="str">
        <f>DEC2HEX(Q77-4294967296*INT(Q77/4294967296))</f>
        <v>F9B9C9</v>
      </c>
    </row>
    <row r="70" spans="2:24" ht="45" hidden="1">
      <c r="B70" s="78" t="s">
        <v>467</v>
      </c>
      <c r="C70" s="79" t="s">
        <v>468</v>
      </c>
      <c r="D70" s="79">
        <v>1</v>
      </c>
      <c r="E70" s="80">
        <f>B9</f>
        <v>1</v>
      </c>
      <c r="F70" s="81" t="s">
        <v>66</v>
      </c>
      <c r="N70" s="22" t="s">
        <v>469</v>
      </c>
      <c r="O70" s="23" t="s">
        <v>470</v>
      </c>
      <c r="P70" s="23" t="s">
        <v>471</v>
      </c>
      <c r="Q70" s="45">
        <v>4</v>
      </c>
      <c r="R70" s="40" t="s">
        <v>441</v>
      </c>
      <c r="T70" s="88" t="s">
        <v>472</v>
      </c>
      <c r="U70" s="56" t="s">
        <v>473</v>
      </c>
      <c r="V70" s="64" t="s">
        <v>474</v>
      </c>
      <c r="W70" s="23" t="s">
        <v>472</v>
      </c>
      <c r="X70" s="89" t="str">
        <f>DEC2HEX(INT(Q77/4294967296))</f>
        <v>0</v>
      </c>
    </row>
    <row r="71" spans="2:24" ht="135" hidden="1">
      <c r="B71" s="322" t="s">
        <v>475</v>
      </c>
      <c r="C71" s="323"/>
      <c r="D71" s="323"/>
      <c r="E71" s="323"/>
      <c r="F71" s="324"/>
      <c r="N71" s="22" t="s">
        <v>476</v>
      </c>
      <c r="O71" s="29" t="s">
        <v>477</v>
      </c>
      <c r="P71" s="23" t="s">
        <v>478</v>
      </c>
      <c r="Q71" s="45">
        <f>Q65+Q66+Q67+Q68+Q69</f>
        <v>8</v>
      </c>
      <c r="R71" s="40" t="s">
        <v>441</v>
      </c>
      <c r="T71" s="90" t="s">
        <v>479</v>
      </c>
      <c r="U71" s="91" t="s">
        <v>480</v>
      </c>
      <c r="V71" s="29" t="s">
        <v>481</v>
      </c>
      <c r="W71" s="23" t="s">
        <v>479</v>
      </c>
      <c r="X71" s="92" t="str">
        <f>DEC2HEX(Q78)</f>
        <v>7F8</v>
      </c>
    </row>
    <row r="72" spans="2:24" ht="30" hidden="1">
      <c r="B72" s="22" t="s">
        <v>482</v>
      </c>
      <c r="C72" s="23" t="s">
        <v>483</v>
      </c>
      <c r="D72" s="23">
        <v>1</v>
      </c>
      <c r="E72" s="24">
        <f>B6</f>
        <v>1</v>
      </c>
      <c r="F72" s="25" t="s">
        <v>66</v>
      </c>
      <c r="N72" s="322" t="s">
        <v>484</v>
      </c>
      <c r="O72" s="323"/>
      <c r="P72" s="323"/>
      <c r="Q72" s="323"/>
      <c r="R72" s="324"/>
      <c r="T72" s="90" t="s">
        <v>485</v>
      </c>
      <c r="U72" s="91" t="s">
        <v>486</v>
      </c>
      <c r="V72" s="29" t="s">
        <v>487</v>
      </c>
      <c r="W72" s="23" t="s">
        <v>488</v>
      </c>
      <c r="X72" s="92" t="str">
        <f>DEC2HEX(Q79)</f>
        <v>1F56</v>
      </c>
    </row>
    <row r="73" spans="2:24" ht="30" hidden="1">
      <c r="B73" s="78" t="s">
        <v>489</v>
      </c>
      <c r="C73" s="79" t="s">
        <v>490</v>
      </c>
      <c r="D73" s="79">
        <v>1</v>
      </c>
      <c r="E73" s="80">
        <f>B7</f>
        <v>1</v>
      </c>
      <c r="F73" s="81" t="s">
        <v>66</v>
      </c>
      <c r="N73" s="18" t="s">
        <v>40</v>
      </c>
      <c r="O73" s="19" t="s">
        <v>41</v>
      </c>
      <c r="P73" s="19" t="s">
        <v>44</v>
      </c>
      <c r="Q73" s="19" t="s">
        <v>47</v>
      </c>
      <c r="R73" s="54" t="s">
        <v>46</v>
      </c>
      <c r="T73" s="90" t="s">
        <v>491</v>
      </c>
      <c r="U73" s="91" t="s">
        <v>492</v>
      </c>
      <c r="V73" s="29" t="s">
        <v>493</v>
      </c>
      <c r="W73" s="23" t="s">
        <v>494</v>
      </c>
      <c r="X73" s="92" t="str">
        <f>DEC2HEX(Q80)</f>
        <v>479</v>
      </c>
    </row>
    <row r="74" spans="2:24" ht="30" hidden="1">
      <c r="B74" s="345" t="s">
        <v>495</v>
      </c>
      <c r="C74" s="346"/>
      <c r="D74" s="346"/>
      <c r="E74" s="346"/>
      <c r="F74" s="347"/>
      <c r="N74" s="22" t="s">
        <v>496</v>
      </c>
      <c r="O74" s="29" t="s">
        <v>497</v>
      </c>
      <c r="P74" s="23" t="s">
        <v>498</v>
      </c>
      <c r="Q74" s="45">
        <v>25</v>
      </c>
      <c r="R74" s="40" t="s">
        <v>441</v>
      </c>
      <c r="T74" s="30" t="s">
        <v>499</v>
      </c>
      <c r="U74" s="91" t="s">
        <v>500</v>
      </c>
      <c r="V74" s="29" t="s">
        <v>501</v>
      </c>
      <c r="W74" s="93" t="s">
        <v>502</v>
      </c>
      <c r="X74" s="92" t="str">
        <f>DEC2HEX(65536*E61+IF(E60=6.25,HEX2DEC(48),IF(E60=12.5,HEX2DEC(58),HEX2DEC(58))))</f>
        <v>40058</v>
      </c>
    </row>
    <row r="75" spans="2:24" ht="60" hidden="1">
      <c r="B75" s="30" t="s">
        <v>503</v>
      </c>
      <c r="C75" s="29" t="s">
        <v>504</v>
      </c>
      <c r="D75" s="33">
        <v>0</v>
      </c>
      <c r="E75" s="31">
        <v>0</v>
      </c>
      <c r="F75" s="26" t="s">
        <v>441</v>
      </c>
      <c r="N75" s="22" t="s">
        <v>505</v>
      </c>
      <c r="O75" s="29" t="s">
        <v>506</v>
      </c>
      <c r="P75" s="23" t="s">
        <v>507</v>
      </c>
      <c r="Q75" s="45">
        <v>2</v>
      </c>
      <c r="R75" s="40" t="s">
        <v>441</v>
      </c>
      <c r="T75" s="94" t="s">
        <v>508</v>
      </c>
      <c r="U75" s="95" t="s">
        <v>509</v>
      </c>
      <c r="V75" s="49" t="s">
        <v>510</v>
      </c>
      <c r="W75" s="96" t="s">
        <v>504</v>
      </c>
      <c r="X75" s="97" t="str">
        <f>DEC2HEX(E75)</f>
        <v>0</v>
      </c>
    </row>
    <row r="76" spans="2:24" ht="195" hidden="1">
      <c r="B76" s="30" t="s">
        <v>511</v>
      </c>
      <c r="C76" s="29" t="s">
        <v>512</v>
      </c>
      <c r="D76" s="33">
        <v>1</v>
      </c>
      <c r="E76" s="31">
        <v>1</v>
      </c>
      <c r="F76" s="26" t="s">
        <v>513</v>
      </c>
      <c r="N76" s="22" t="s">
        <v>457</v>
      </c>
      <c r="O76" s="29" t="s">
        <v>459</v>
      </c>
      <c r="P76" s="23" t="s">
        <v>514</v>
      </c>
      <c r="Q76" s="44">
        <f>ROUNDUP(E57*2*E44/16/4,0)</f>
        <v>2336</v>
      </c>
      <c r="R76" s="40" t="s">
        <v>441</v>
      </c>
    </row>
    <row r="77" spans="2:24" ht="45" hidden="1">
      <c r="B77" s="348" t="s">
        <v>515</v>
      </c>
      <c r="C77" s="349"/>
      <c r="D77" s="349"/>
      <c r="E77" s="349"/>
      <c r="F77" s="350"/>
      <c r="N77" s="30" t="s">
        <v>516</v>
      </c>
      <c r="O77" s="29" t="s">
        <v>517</v>
      </c>
      <c r="P77" s="23" t="s">
        <v>518</v>
      </c>
      <c r="Q77" s="44">
        <f>E58*(Q75+Q76)+Q74</f>
        <v>16366025</v>
      </c>
      <c r="R77" s="40" t="s">
        <v>441</v>
      </c>
    </row>
    <row r="78" spans="2:24" ht="90" hidden="1">
      <c r="B78" s="82" t="s">
        <v>7</v>
      </c>
      <c r="C78" s="351" t="s">
        <v>519</v>
      </c>
      <c r="D78" s="351"/>
      <c r="E78" s="352">
        <f>K45</f>
        <v>31.610557926347401</v>
      </c>
      <c r="F78" s="353"/>
      <c r="N78" s="30" t="s">
        <v>479</v>
      </c>
      <c r="O78" s="29" t="s">
        <v>481</v>
      </c>
      <c r="P78" s="23" t="s">
        <v>520</v>
      </c>
      <c r="Q78" s="45">
        <f>IF(E62/4&gt;=Q71,E62/4-Q71,0)</f>
        <v>2040</v>
      </c>
      <c r="R78" s="40" t="s">
        <v>441</v>
      </c>
    </row>
    <row r="79" spans="2:24" ht="90" hidden="1">
      <c r="N79" s="22" t="s">
        <v>488</v>
      </c>
      <c r="O79" s="29" t="s">
        <v>487</v>
      </c>
      <c r="P79" s="23" t="s">
        <v>521</v>
      </c>
      <c r="Q79" s="98">
        <f>IF(Q78=0,0,INT(Q77/Q78))</f>
        <v>8022</v>
      </c>
      <c r="R79" s="40" t="s">
        <v>66</v>
      </c>
    </row>
    <row r="80" spans="2:24" ht="120" hidden="1">
      <c r="J80" s="17"/>
      <c r="N80" s="22" t="s">
        <v>494</v>
      </c>
      <c r="O80" s="29" t="s">
        <v>493</v>
      </c>
      <c r="P80" s="23" t="s">
        <v>522</v>
      </c>
      <c r="Q80" s="98">
        <f>IF(Q78=0,0,Q77-Q78*Q79)</f>
        <v>1145</v>
      </c>
      <c r="R80" s="40" t="s">
        <v>441</v>
      </c>
    </row>
    <row r="81" spans="14:18" ht="45" hidden="1">
      <c r="N81" s="22" t="s">
        <v>523</v>
      </c>
      <c r="O81" s="29" t="s">
        <v>524</v>
      </c>
      <c r="P81" s="23" t="s">
        <v>525</v>
      </c>
      <c r="Q81" s="45">
        <f>IF(Q80=0,0,1)</f>
        <v>1</v>
      </c>
      <c r="R81" s="40" t="s">
        <v>66</v>
      </c>
    </row>
    <row r="82" spans="14:18" ht="135" hidden="1">
      <c r="N82" s="55" t="s">
        <v>526</v>
      </c>
      <c r="O82" s="56" t="s">
        <v>527</v>
      </c>
      <c r="P82" s="56" t="s">
        <v>528</v>
      </c>
      <c r="Q82" s="99">
        <f>Q79*(Q78+Q71+Q70)+Q81*(Q80+Q71+Q70)</f>
        <v>16462301</v>
      </c>
      <c r="R82" s="100" t="s">
        <v>441</v>
      </c>
    </row>
    <row r="83" spans="14:18" ht="75" hidden="1">
      <c r="N83" s="30" t="s">
        <v>529</v>
      </c>
      <c r="O83" s="29" t="s">
        <v>530</v>
      </c>
      <c r="P83" s="29" t="s">
        <v>531</v>
      </c>
      <c r="Q83" s="101">
        <f>(Q81+Q79)*E75</f>
        <v>0</v>
      </c>
      <c r="R83" s="40" t="s">
        <v>441</v>
      </c>
    </row>
    <row r="84" spans="14:18" ht="60" hidden="1">
      <c r="N84" s="30" t="s">
        <v>532</v>
      </c>
      <c r="O84" s="29" t="s">
        <v>533</v>
      </c>
      <c r="P84" s="29" t="s">
        <v>534</v>
      </c>
      <c r="Q84" s="42">
        <f>Q82+Q83</f>
        <v>16462301</v>
      </c>
      <c r="R84" s="40" t="s">
        <v>441</v>
      </c>
    </row>
    <row r="85" spans="14:18" ht="75" hidden="1">
      <c r="N85" s="30" t="s">
        <v>535</v>
      </c>
      <c r="O85" s="29" t="s">
        <v>536</v>
      </c>
      <c r="P85" s="29" t="s">
        <v>537</v>
      </c>
      <c r="Q85" s="102">
        <f>1*100/95</f>
        <v>1.0526315789473684</v>
      </c>
      <c r="R85" s="46" t="s">
        <v>513</v>
      </c>
    </row>
    <row r="86" spans="14:18" ht="135" hidden="1">
      <c r="N86" s="30" t="s">
        <v>538</v>
      </c>
      <c r="O86" s="29" t="s">
        <v>539</v>
      </c>
      <c r="P86" s="29" t="s">
        <v>540</v>
      </c>
      <c r="Q86" s="42">
        <f>INT(E61*1000000000*8*E60*(100-E76-Q85)/80/10)</f>
        <v>48973684210</v>
      </c>
      <c r="R86" s="32" t="s">
        <v>541</v>
      </c>
    </row>
    <row r="87" spans="14:18" ht="120" hidden="1">
      <c r="N87" s="85" t="s">
        <v>542</v>
      </c>
      <c r="O87" s="28" t="s">
        <v>543</v>
      </c>
      <c r="P87" s="28" t="s">
        <v>544</v>
      </c>
      <c r="Q87" s="103">
        <f>ROUNDUP(1000000*Q82*4*100/(E64*(100-Q85)),0)</f>
        <v>13310</v>
      </c>
      <c r="R87" s="67" t="s">
        <v>64</v>
      </c>
    </row>
    <row r="88" spans="14:18" ht="75" hidden="1">
      <c r="N88" s="86" t="s">
        <v>545</v>
      </c>
      <c r="O88" s="49" t="s">
        <v>546</v>
      </c>
      <c r="P88" s="49" t="s">
        <v>547</v>
      </c>
      <c r="Q88" s="50">
        <f>ROUNDUP(4*Q84*1000000/Q86,0)*10</f>
        <v>13450</v>
      </c>
      <c r="R88" s="104" t="s">
        <v>64</v>
      </c>
    </row>
    <row r="89" spans="14:18" hidden="1"/>
    <row r="90" spans="14:18" hidden="1"/>
    <row r="111" spans="8:10">
      <c r="H111" s="83"/>
      <c r="I111" s="338"/>
      <c r="J111" s="338"/>
    </row>
    <row r="112" spans="8:10">
      <c r="H112" s="83"/>
      <c r="I112" s="83"/>
      <c r="J112" s="83"/>
    </row>
    <row r="113" spans="2:10">
      <c r="H113" s="83"/>
      <c r="I113" s="83"/>
      <c r="J113" s="83"/>
    </row>
    <row r="114" spans="2:10">
      <c r="H114" s="83"/>
      <c r="I114" s="83"/>
      <c r="J114" s="83"/>
    </row>
    <row r="115" spans="2:10">
      <c r="H115" s="83"/>
      <c r="I115" s="83"/>
      <c r="J115" s="83"/>
    </row>
    <row r="116" spans="2:10">
      <c r="H116" s="83"/>
      <c r="I116" s="338"/>
      <c r="J116" s="338"/>
    </row>
    <row r="117" spans="2:10">
      <c r="G117" s="84"/>
      <c r="H117" s="83"/>
      <c r="I117" s="83"/>
      <c r="J117" s="83"/>
    </row>
    <row r="118" spans="2:10">
      <c r="B118" s="83"/>
      <c r="C118" s="83"/>
      <c r="D118" s="83"/>
      <c r="E118" s="83"/>
      <c r="G118" s="83"/>
      <c r="H118" s="83"/>
      <c r="I118" s="83"/>
      <c r="J118" s="83"/>
    </row>
    <row r="119" spans="2:10">
      <c r="B119" s="83"/>
      <c r="C119" s="83"/>
      <c r="D119" s="83"/>
      <c r="E119" s="83"/>
      <c r="G119" s="83"/>
      <c r="H119" s="83"/>
      <c r="I119" s="83"/>
      <c r="J119" s="83"/>
    </row>
    <row r="120" spans="2:10">
      <c r="B120" s="83"/>
      <c r="C120" s="83"/>
      <c r="D120" s="83"/>
      <c r="E120" s="83"/>
      <c r="G120" s="83"/>
      <c r="H120" s="83"/>
      <c r="I120" s="83"/>
      <c r="J120" s="83"/>
    </row>
    <row r="121" spans="2:10">
      <c r="B121" s="83"/>
      <c r="C121" s="83"/>
      <c r="D121" s="83"/>
      <c r="E121" s="83"/>
      <c r="F121" s="84"/>
      <c r="G121" s="83"/>
      <c r="H121" s="83"/>
      <c r="I121" s="338"/>
      <c r="J121" s="338"/>
    </row>
    <row r="122" spans="2:10">
      <c r="B122" s="83"/>
      <c r="C122" s="83"/>
      <c r="D122" s="83"/>
      <c r="E122" s="83"/>
      <c r="F122" s="83"/>
      <c r="G122" s="83"/>
      <c r="H122" s="83"/>
      <c r="I122" s="83"/>
      <c r="J122" s="83"/>
    </row>
    <row r="123" spans="2:10">
      <c r="B123" s="83"/>
      <c r="C123" s="83"/>
      <c r="D123" s="83"/>
      <c r="E123" s="83"/>
      <c r="F123" s="83"/>
      <c r="G123" s="83"/>
      <c r="H123" s="83"/>
      <c r="I123" s="83"/>
      <c r="J123" s="83"/>
    </row>
    <row r="124" spans="2:10">
      <c r="B124" s="83"/>
      <c r="C124" s="83"/>
      <c r="D124" s="83"/>
      <c r="E124" s="83"/>
      <c r="F124" s="83"/>
      <c r="G124" s="83"/>
      <c r="H124" s="83"/>
      <c r="I124" s="83"/>
      <c r="J124" s="83"/>
    </row>
    <row r="125" spans="2:10">
      <c r="B125" s="84"/>
      <c r="C125" s="84"/>
      <c r="D125" s="83"/>
      <c r="E125" s="83"/>
      <c r="F125" s="83"/>
      <c r="G125" s="83"/>
      <c r="H125" s="83"/>
      <c r="I125" s="83"/>
      <c r="J125" s="83"/>
    </row>
    <row r="126" spans="2:10">
      <c r="B126" s="83"/>
      <c r="C126" s="84"/>
      <c r="D126" s="83"/>
      <c r="E126" s="83"/>
      <c r="F126" s="83"/>
      <c r="G126" s="83"/>
      <c r="H126" s="83"/>
      <c r="I126" s="83"/>
      <c r="J126" s="83"/>
    </row>
    <row r="127" spans="2:10">
      <c r="B127" s="83"/>
      <c r="C127" s="84"/>
      <c r="D127" s="83"/>
      <c r="E127" s="83"/>
      <c r="F127" s="83"/>
      <c r="G127" s="83"/>
      <c r="H127" s="83"/>
      <c r="I127" s="83"/>
      <c r="J127" s="83"/>
    </row>
    <row r="128" spans="2:10">
      <c r="B128" s="83"/>
      <c r="C128" s="83"/>
      <c r="D128" s="83"/>
      <c r="E128" s="83"/>
      <c r="F128" s="83"/>
      <c r="G128" s="83"/>
      <c r="H128" s="83"/>
      <c r="I128" s="83"/>
      <c r="J128" s="83"/>
    </row>
    <row r="129" spans="2:10">
      <c r="B129" s="83"/>
      <c r="C129" s="83"/>
      <c r="D129" s="83"/>
      <c r="E129" s="83"/>
      <c r="F129" s="83"/>
      <c r="G129" s="83"/>
      <c r="H129" s="83"/>
      <c r="I129" s="83"/>
      <c r="J129" s="83"/>
    </row>
    <row r="130" spans="2:10">
      <c r="B130" s="83"/>
      <c r="C130" s="83"/>
      <c r="D130" s="83"/>
      <c r="E130" s="83"/>
      <c r="F130" s="83"/>
      <c r="G130" s="83"/>
      <c r="H130" s="83"/>
      <c r="I130" s="83"/>
      <c r="J130" s="83"/>
    </row>
    <row r="131" spans="2:10">
      <c r="B131" s="83"/>
      <c r="C131" s="83"/>
      <c r="D131" s="83"/>
      <c r="E131" s="83"/>
      <c r="F131" s="83"/>
      <c r="G131" s="83"/>
      <c r="H131" s="83"/>
      <c r="I131" s="83"/>
      <c r="J131" s="83"/>
    </row>
    <row r="132" spans="2:10">
      <c r="B132" s="83"/>
      <c r="C132" s="83"/>
      <c r="D132" s="83"/>
      <c r="E132" s="83"/>
      <c r="F132" s="83"/>
      <c r="G132" s="83"/>
      <c r="H132" s="83"/>
      <c r="I132" s="83"/>
      <c r="J132" s="83"/>
    </row>
    <row r="133" spans="2:10">
      <c r="B133" s="83"/>
      <c r="C133" s="83"/>
      <c r="D133" s="83"/>
      <c r="E133" s="83"/>
      <c r="F133" s="83"/>
      <c r="G133" s="83"/>
      <c r="H133" s="83"/>
      <c r="I133" s="83"/>
      <c r="J133" s="83"/>
    </row>
    <row r="134" spans="2:10">
      <c r="B134" s="83"/>
      <c r="C134" s="83"/>
      <c r="D134" s="83"/>
      <c r="E134" s="83"/>
      <c r="F134" s="83"/>
      <c r="G134" s="83"/>
      <c r="H134" s="83"/>
      <c r="I134" s="83"/>
      <c r="J134" s="83"/>
    </row>
    <row r="135" spans="2:10">
      <c r="B135" s="83"/>
      <c r="C135" s="83"/>
      <c r="D135" s="83"/>
      <c r="E135" s="83"/>
      <c r="F135" s="83"/>
      <c r="G135" s="83"/>
      <c r="H135" s="83"/>
      <c r="I135" s="83"/>
      <c r="J135" s="83"/>
    </row>
    <row r="136" spans="2:10">
      <c r="B136" s="83"/>
      <c r="C136" s="83"/>
      <c r="D136" s="83"/>
      <c r="E136" s="83"/>
      <c r="F136" s="83"/>
      <c r="G136" s="83"/>
    </row>
    <row r="137" spans="2:10">
      <c r="B137" s="83"/>
      <c r="C137" s="83"/>
      <c r="D137" s="83"/>
      <c r="E137" s="83"/>
      <c r="F137" s="83"/>
      <c r="G137" s="83"/>
    </row>
    <row r="138" spans="2:10">
      <c r="B138" s="83"/>
      <c r="C138" s="83"/>
      <c r="D138" s="83"/>
      <c r="E138" s="83"/>
      <c r="F138" s="83"/>
      <c r="G138" s="83"/>
    </row>
    <row r="139" spans="2:10">
      <c r="B139" s="83"/>
      <c r="C139" s="83"/>
      <c r="D139" s="83"/>
      <c r="E139" s="83"/>
      <c r="F139" s="83"/>
      <c r="G139" s="83"/>
    </row>
    <row r="140" spans="2:10">
      <c r="B140" s="83"/>
      <c r="C140" s="83"/>
      <c r="D140" s="83"/>
      <c r="E140" s="83"/>
      <c r="F140" s="83"/>
      <c r="G140" s="83"/>
    </row>
    <row r="141" spans="2:10">
      <c r="B141" s="83"/>
      <c r="C141" s="83"/>
      <c r="D141" s="83"/>
      <c r="E141" s="83"/>
      <c r="F141" s="83"/>
      <c r="G141" s="83"/>
    </row>
    <row r="142" spans="2:10">
      <c r="B142" s="83"/>
      <c r="C142" s="83"/>
      <c r="D142" s="83"/>
      <c r="E142" s="83"/>
      <c r="F142" s="83"/>
    </row>
    <row r="143" spans="2:10">
      <c r="F143" s="83"/>
    </row>
    <row r="144" spans="2:10">
      <c r="F144" s="83"/>
    </row>
    <row r="145" spans="6:6">
      <c r="F145" s="83"/>
    </row>
  </sheetData>
  <sheetProtection algorithmName="SHA-512" hashValue="o5dGiqYe/1OeWXKj4+QXlxREWI7Qt7SicOb7LJf+HFEXE/0t3LSFcTLB51PU0xkgiQsr+KIJSzpkJ0cc4Xs2Zg==" saltValue="fSk+jJ20o0gl8AYNgsHZXA==" spinCount="100000" sheet="1" selectLockedCells="1"/>
  <mergeCells count="30">
    <mergeCell ref="I111:J111"/>
    <mergeCell ref="I116:J116"/>
    <mergeCell ref="I121:J121"/>
    <mergeCell ref="B71:F71"/>
    <mergeCell ref="N72:R72"/>
    <mergeCell ref="B74:F74"/>
    <mergeCell ref="B77:F77"/>
    <mergeCell ref="C78:D78"/>
    <mergeCell ref="E78:F78"/>
    <mergeCell ref="H60:L60"/>
    <mergeCell ref="N63:R63"/>
    <mergeCell ref="B65:F65"/>
    <mergeCell ref="T66:X66"/>
    <mergeCell ref="B68:F68"/>
    <mergeCell ref="B54:F54"/>
    <mergeCell ref="N55:R55"/>
    <mergeCell ref="T55:X55"/>
    <mergeCell ref="H57:L57"/>
    <mergeCell ref="B59:F59"/>
    <mergeCell ref="B43:F43"/>
    <mergeCell ref="B45:F45"/>
    <mergeCell ref="H46:L46"/>
    <mergeCell ref="B51:F51"/>
    <mergeCell ref="H52:L52"/>
    <mergeCell ref="H40:L40"/>
    <mergeCell ref="N40:R40"/>
    <mergeCell ref="T40:AU40"/>
    <mergeCell ref="B41:F41"/>
    <mergeCell ref="H41:L41"/>
    <mergeCell ref="N41:R41"/>
  </mergeCells>
  <phoneticPr fontId="12" type="noConversion"/>
  <dataValidations count="37">
    <dataValidation allowBlank="1" showErrorMessage="1" promptTitle="参数变化" prompt="该参数会根据当前生效的水平像素Binning、水平像素抽样变化" sqref="B2" xr:uid="{00000000-0002-0000-0500-000000000000}"/>
    <dataValidation type="whole" allowBlank="1" showInputMessage="1" showErrorMessage="1" errorTitle="设置值超出范围" error="预留带宽设置值超出范围" sqref="E76" xr:uid="{00000000-0002-0000-0500-000001000000}">
      <formula1>D76</formula1>
      <formula2>99</formula2>
    </dataValidation>
    <dataValidation type="whole" allowBlank="1" showInputMessage="1" showErrorMessage="1" errorTitle="超出范围" error="曝光时间的范围是14us-1s" sqref="E48" xr:uid="{00000000-0002-0000-0500-000002000000}">
      <formula1>14</formula1>
      <formula2>10000000</formula2>
    </dataValidation>
    <dataValidation type="list" allowBlank="1" showInputMessage="1" showErrorMessage="1" sqref="E46" xr:uid="{00000000-0002-0000-0500-000003000000}">
      <formula1>"Timed,TriggerWidth"</formula1>
    </dataValidation>
    <dataValidation allowBlank="1" showInputMessage="1" showErrorMessage="1" error="输入范围是64~1024，步长为2" sqref="A1:B1" xr:uid="{00000000-0002-0000-0500-000004000000}"/>
    <dataValidation type="custom" allowBlank="1" showInputMessage="1" showErrorMessage="1" errorTitle="Input parameter error" error="Input range from 100000000 to 5000000000, step 10000000." sqref="B20" xr:uid="{00000000-0002-0000-0500-000005000000}">
      <formula1>AND((B20&lt;=5000000000),(B20&gt;=100000000),(MOD(B20,10000000)=0))</formula1>
    </dataValidation>
    <dataValidation allowBlank="1" showErrorMessage="1" promptTitle="参数变化" prompt="该参数会根据当前生效的垂直像素Binning、垂直像素抽样变化" sqref="B3" xr:uid="{00000000-0002-0000-0500-000006000000}"/>
    <dataValidation type="whole" allowBlank="1" showInputMessage="1" showErrorMessage="1" errorTitle="流包包长设置错误" error="流包包长范围512-16384bytes" sqref="E62" xr:uid="{00000000-0002-0000-0500-000007000000}">
      <formula1>512</formula1>
      <formula2>16384</formula2>
    </dataValidation>
    <dataValidation type="custom" allowBlank="1" showInputMessage="1" showErrorMessage="1" errorTitle="Input parameter error" error="Input range from 32 to WidthMax, and is an integer multiple of 32." sqref="B4" xr:uid="{00000000-0002-0000-0500-000008000000}">
      <formula1>AND((B4&lt;=B2),(B4&gt;=32),(MOD(B4,32)=0))</formula1>
    </dataValidation>
    <dataValidation type="custom" allowBlank="1" showInputMessage="1" showErrorMessage="1" errorTitle="Input parameter error" error="Input range from 2 to HeightMax, and is an integer multiple of 2." sqref="B5" xr:uid="{00000000-0002-0000-0500-000009000000}">
      <formula1>AND((B5&lt;=B3),(B5&gt;=2),(MOD(B5,2)=0))</formula1>
    </dataValidation>
    <dataValidation type="whole" allowBlank="1" showInputMessage="1" showErrorMessage="1" errorTitle="输入数值非法" error="最小值4，最大值D12" sqref="E57" xr:uid="{00000000-0002-0000-0500-00000A000000}">
      <formula1>32</formula1>
      <formula2>D57</formula2>
    </dataValidation>
    <dataValidation type="whole" allowBlank="1" showInputMessage="1" showErrorMessage="1" errorTitle="Input parameter error" error="The input range: [0,5000]" sqref="B11" xr:uid="{00000000-0002-0000-0500-00000B000000}">
      <formula1>0</formula1>
      <formula2>5000</formula2>
    </dataValidation>
    <dataValidation type="whole" allowBlank="1" showInputMessage="1" showErrorMessage="1" errorTitle="Input parameter error" error="Input range from 14 to 1000000." sqref="B10" xr:uid="{00000000-0002-0000-0500-00000C000000}">
      <formula1>14</formula1>
      <formula2>1000000</formula2>
    </dataValidation>
    <dataValidation type="list" allowBlank="1" showInputMessage="1" showErrorMessage="1" errorTitle="Input parameter error" error="Input 8 or 12." sqref="B12" xr:uid="{00000000-0002-0000-0500-00000D000000}">
      <formula1>"8,12"</formula1>
    </dataValidation>
    <dataValidation type="list" allowBlank="1" showInputMessage="1" showErrorMessage="1" errorTitle="Input parameter error" error="Please input 0 or 1." sqref="B16 B19" xr:uid="{00000000-0002-0000-0500-00000E000000}">
      <formula1>"0,1"</formula1>
    </dataValidation>
    <dataValidation type="custom" allowBlank="1" showInputMessage="1" showErrorMessage="1" errorTitle="Input parameter error" error="Input range is 512~8192, step is 4." sqref="B13" xr:uid="{00000000-0002-0000-0500-00000F000000}">
      <formula1>AND((B13&lt;=8192),(B13&gt;=512),(MOD(B13,4)=0))</formula1>
    </dataValidation>
    <dataValidation type="list" allowBlank="1" showInputMessage="1" showErrorMessage="1" sqref="D40" xr:uid="{00000000-0002-0000-0500-000010000000}">
      <formula1>$T$42:$T$46</formula1>
    </dataValidation>
    <dataValidation type="list" allowBlank="1" showInputMessage="1" showErrorMessage="1" errorTitle="Input parameter error" error="Input range is 0 or 1." sqref="B14" xr:uid="{00000000-0002-0000-0500-000011000000}">
      <formula1>"0,1"</formula1>
    </dataValidation>
    <dataValidation type="custom" allowBlank="1" showInputMessage="1" showErrorMessage="1" errorTitle="Input parameter error" error="Input range from 0.1 to 10000, step 0.1." sqref="B15" xr:uid="{00000000-0002-0000-0500-000012000000}">
      <formula1>AND(TRUNC(B15,1)=B15,(B15&gt;=0.1),(B15&lt;=10000))</formula1>
    </dataValidation>
    <dataValidation type="list" allowBlank="1" showInputMessage="1" showErrorMessage="1" errorTitle="Input parameter error" error="Please input 6.25 or 12.5." sqref="B17" xr:uid="{00000000-0002-0000-0500-000013000000}">
      <formula1>"6.25,12.5"</formula1>
    </dataValidation>
    <dataValidation type="list" allowBlank="1" showInputMessage="1" showErrorMessage="1" errorTitle="Input parameter error" error="Input range is 1 or 2 or 4." sqref="B6:B9" xr:uid="{00000000-0002-0000-0500-000014000000}">
      <formula1>"1,2,4"</formula1>
    </dataValidation>
    <dataValidation type="list" allowBlank="1" showInputMessage="1" showErrorMessage="1" errorTitle="Input parameter error" error="Please input 1 or 2 or 4." sqref="B18" xr:uid="{00000000-0002-0000-0500-000015000000}">
      <formula1>"1,2,4"</formula1>
    </dataValidation>
    <dataValidation type="list" allowBlank="1" showInputMessage="1" showErrorMessage="1" sqref="E44" xr:uid="{00000000-0002-0000-0500-000016000000}">
      <formula1>"8,10,12"</formula1>
    </dataValidation>
    <dataValidation type="whole" allowBlank="1" showInputMessage="1" showErrorMessage="1" errorTitle="设置值超出范围" error="包间隔设置值超出范围" sqref="E75" xr:uid="{00000000-0002-0000-0500-000017000000}">
      <formula1>0</formula1>
      <formula2>K73</formula2>
    </dataValidation>
    <dataValidation type="whole" allowBlank="1" showInputMessage="1" showErrorMessage="1" sqref="E47" xr:uid="{00000000-0002-0000-0500-000018000000}">
      <formula1>0</formula1>
      <formula2>D47</formula2>
    </dataValidation>
    <dataValidation type="whole" allowBlank="1" showInputMessage="1" showErrorMessage="1" errorTitle="超出范围" error="曝光延迟的范围是0-5000us" sqref="E49" xr:uid="{00000000-0002-0000-0500-000019000000}">
      <formula1>0</formula1>
      <formula2>5000</formula2>
    </dataValidation>
    <dataValidation type="whole" allowBlank="1" showInputMessage="1" showErrorMessage="1" errorTitle="超出范围" error="触发信号宽度的范围是1-1000000us" sqref="E50" xr:uid="{00000000-0002-0000-0500-00001A000000}">
      <formula1>1</formula1>
      <formula2>1000000</formula2>
    </dataValidation>
    <dataValidation type="whole" allowBlank="1" showInputMessage="1" showErrorMessage="1" errorTitle="超出范围" error="触发延时的范围是0-3000000us" sqref="E53" xr:uid="{00000000-0002-0000-0500-00001B000000}">
      <formula1>0</formula1>
      <formula2>3000000</formula2>
    </dataValidation>
    <dataValidation type="list" allowBlank="1" showInputMessage="1" showErrorMessage="1" sqref="E52" xr:uid="{00000000-0002-0000-0500-00001C000000}">
      <formula1>"0,1"</formula1>
    </dataValidation>
    <dataValidation type="whole" allowBlank="1" showInputMessage="1" showErrorMessage="1" errorTitle="输入数值非法" error="最小值2，最大值D13" sqref="E58" xr:uid="{00000000-0002-0000-0500-00001D000000}">
      <formula1>2</formula1>
      <formula2>D58</formula2>
    </dataValidation>
    <dataValidation type="list" allowBlank="1" showInputMessage="1" showErrorMessage="1" sqref="E60" xr:uid="{00000000-0002-0000-0500-00001E000000}">
      <formula1>"12.5,6.25"</formula1>
    </dataValidation>
    <dataValidation type="list" allowBlank="1" showInputMessage="1" showErrorMessage="1" sqref="E61" xr:uid="{00000000-0002-0000-0500-00001F000000}">
      <formula1>"1,2,4"</formula1>
    </dataValidation>
    <dataValidation type="list" allowBlank="1" showInputMessage="1" showErrorMessage="1" errorTitle="超出范围" error="0:关闭_x000a_1:打开" sqref="E63 E66" xr:uid="{00000000-0002-0000-0500-000020000000}">
      <formula1>"0,1"</formula1>
    </dataValidation>
    <dataValidation type="custom" allowBlank="1" showInputMessage="1" showErrorMessage="1" errorTitle="带宽限制值设置错误" error="带宽限制值需要以100000000为步长，最小值100000000" sqref="E64" xr:uid="{00000000-0002-0000-0500-000021000000}">
      <formula1>AND(E64&lt;=D64,E64&gt;=100000000,MOD(E64,10000000)=0)</formula1>
    </dataValidation>
    <dataValidation type="decimal" allowBlank="1" showInputMessage="1" showErrorMessage="1" sqref="E67" xr:uid="{00000000-0002-0000-0500-000022000000}">
      <formula1>0.1</formula1>
      <formula2>10000</formula2>
    </dataValidation>
    <dataValidation type="list" allowBlank="1" showErrorMessage="1" error="只支持1x 2x 4x水平Binning/Skipping，且需要同步修改水平ROI" sqref="E69 E72" xr:uid="{00000000-0002-0000-0500-000023000000}">
      <formula1>"1,2,4"</formula1>
    </dataValidation>
    <dataValidation type="list" allowBlank="1" showErrorMessage="1" error="只支持1x 2x 4x垂直Binning/Skipping，且需要同步修改垂直ROI" sqref="E70 E73" xr:uid="{00000000-0002-0000-0500-000024000000}">
      <formula1>"1,2,4"</formula1>
    </dataValidation>
  </dataValidations>
  <pageMargins left="0.7" right="0.7" top="0.75" bottom="0.75" header="0.3" footer="0.3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U145"/>
  <sheetViews>
    <sheetView tabSelected="1" workbookViewId="0">
      <selection activeCell="B5" sqref="B5"/>
    </sheetView>
  </sheetViews>
  <sheetFormatPr defaultColWidth="9" defaultRowHeight="15"/>
  <cols>
    <col min="1" max="1" width="33.28515625" style="233" customWidth="1"/>
    <col min="2" max="2" width="17.42578125" style="233" customWidth="1"/>
    <col min="3" max="3" width="14.85546875" style="233" customWidth="1"/>
    <col min="4" max="4" width="15.42578125" style="233" customWidth="1"/>
    <col min="5" max="5" width="14.42578125" style="233" customWidth="1"/>
    <col min="6" max="6" width="14.7109375" style="233" customWidth="1"/>
    <col min="7" max="7" width="16.42578125" style="233" customWidth="1"/>
    <col min="8" max="8" width="16.140625" style="233" customWidth="1"/>
    <col min="9" max="9" width="15.7109375" style="233" customWidth="1"/>
    <col min="10" max="10" width="15.28515625" style="233" customWidth="1"/>
    <col min="11" max="11" width="15.5703125" style="233" customWidth="1"/>
    <col min="12" max="13" width="15.42578125" style="233" customWidth="1"/>
    <col min="14" max="14" width="17.7109375" style="233" customWidth="1"/>
    <col min="15" max="15" width="16" style="233" customWidth="1"/>
    <col min="16" max="16" width="16.28515625" style="233" customWidth="1"/>
    <col min="17" max="17" width="14.85546875" style="233" customWidth="1"/>
    <col min="18" max="18" width="15.5703125" style="233" customWidth="1"/>
    <col min="19" max="19" width="16.5703125" style="233" customWidth="1"/>
    <col min="20" max="20" width="16.85546875" style="233" customWidth="1"/>
    <col min="21" max="21" width="15.42578125" style="233" customWidth="1"/>
    <col min="22" max="22" width="16.5703125" style="233" customWidth="1"/>
    <col min="23" max="23" width="16" style="233" customWidth="1"/>
    <col min="24" max="24" width="14.140625" style="233" customWidth="1"/>
    <col min="25" max="25" width="13.7109375" style="233" customWidth="1"/>
    <col min="26" max="26" width="13.85546875" style="233" customWidth="1"/>
    <col min="27" max="27" width="14" style="233" customWidth="1"/>
    <col min="28" max="28" width="17" style="233" customWidth="1"/>
    <col min="29" max="29" width="20.42578125" style="233" customWidth="1"/>
    <col min="30" max="30" width="21" style="233" customWidth="1"/>
    <col min="31" max="31" width="20.28515625" style="233" customWidth="1"/>
    <col min="32" max="32" width="22.5703125" style="233" customWidth="1"/>
    <col min="33" max="33" width="24.140625" style="233" customWidth="1"/>
    <col min="34" max="34" width="11.5703125" style="233" customWidth="1"/>
    <col min="35" max="35" width="21.5703125" style="233" customWidth="1"/>
    <col min="36" max="36" width="17.28515625" style="233" customWidth="1"/>
    <col min="37" max="37" width="13.42578125" style="233" customWidth="1"/>
    <col min="38" max="38" width="12.85546875" style="233" customWidth="1"/>
    <col min="39" max="41" width="21.5703125" style="233" customWidth="1"/>
    <col min="42" max="42" width="19.42578125" style="233" customWidth="1"/>
    <col min="43" max="45" width="20.28515625" style="233" customWidth="1"/>
    <col min="46" max="16384" width="9" style="233"/>
  </cols>
  <sheetData>
    <row r="1" spans="1:10" s="217" customFormat="1">
      <c r="A1" s="224"/>
      <c r="B1" s="232"/>
    </row>
    <row r="2" spans="1:10" s="217" customFormat="1">
      <c r="A2" s="309" t="s">
        <v>236</v>
      </c>
      <c r="B2" s="311">
        <f>ROUNDDOWN(D57/B8/B6/32,0)*32</f>
        <v>5120</v>
      </c>
    </row>
    <row r="3" spans="1:10" s="217" customFormat="1">
      <c r="A3" s="309" t="s">
        <v>237</v>
      </c>
      <c r="B3" s="311">
        <f>ROUNDDOWN(D58/B9/B7/2,0)*2</f>
        <v>5120</v>
      </c>
      <c r="J3" s="310"/>
    </row>
    <row r="4" spans="1:10" s="217" customFormat="1">
      <c r="A4" s="224" t="s">
        <v>238</v>
      </c>
      <c r="B4" s="307">
        <v>2560</v>
      </c>
      <c r="C4" s="219" t="str">
        <f>IF(OR(B4&gt;B2,B4&lt;4),H26,"")</f>
        <v/>
      </c>
    </row>
    <row r="5" spans="1:10" s="217" customFormat="1">
      <c r="A5" s="224" t="s">
        <v>239</v>
      </c>
      <c r="B5" s="307">
        <v>250</v>
      </c>
      <c r="C5" s="219" t="str">
        <f>IF(OR(B5&gt;B3,B5&lt;2),H27,"")</f>
        <v/>
      </c>
    </row>
    <row r="6" spans="1:10" s="217" customFormat="1">
      <c r="A6" s="224" t="s">
        <v>240</v>
      </c>
      <c r="B6" s="307">
        <v>1</v>
      </c>
      <c r="C6" s="219" t="str">
        <f>IF(OR(AND(B6=2,B8=2),AND(B6=4,B8=4),AND(B6=2,B8=4),AND(B6=4,B8=2)),H29,"")</f>
        <v/>
      </c>
    </row>
    <row r="7" spans="1:10" s="217" customFormat="1">
      <c r="A7" s="224" t="s">
        <v>241</v>
      </c>
      <c r="B7" s="307">
        <v>1</v>
      </c>
      <c r="C7" s="219" t="str">
        <f>IF(OR(AND(B7=2,B9=2),AND(B7=4,B9=4),AND(B7=2,B9=4),AND(B7=4,B9=2)),H30,"")</f>
        <v/>
      </c>
    </row>
    <row r="8" spans="1:10" s="217" customFormat="1">
      <c r="A8" s="309" t="s">
        <v>242</v>
      </c>
      <c r="B8" s="308">
        <v>1</v>
      </c>
    </row>
    <row r="9" spans="1:10" s="217" customFormat="1">
      <c r="A9" s="309" t="s">
        <v>243</v>
      </c>
      <c r="B9" s="308">
        <v>1</v>
      </c>
    </row>
    <row r="10" spans="1:10" s="217" customFormat="1">
      <c r="A10" s="224" t="s">
        <v>244</v>
      </c>
      <c r="B10" s="307">
        <v>100</v>
      </c>
    </row>
    <row r="11" spans="1:10" s="217" customFormat="1">
      <c r="A11" s="227" t="s">
        <v>245</v>
      </c>
      <c r="B11" s="226">
        <v>0</v>
      </c>
    </row>
    <row r="12" spans="1:10" s="217" customFormat="1">
      <c r="A12" s="224" t="s">
        <v>583</v>
      </c>
      <c r="B12" s="307">
        <v>8</v>
      </c>
    </row>
    <row r="13" spans="1:10" s="217" customFormat="1">
      <c r="A13" s="224" t="s">
        <v>247</v>
      </c>
      <c r="B13" s="307">
        <v>8192</v>
      </c>
    </row>
    <row r="14" spans="1:10" s="217" customFormat="1">
      <c r="A14" s="224" t="s">
        <v>248</v>
      </c>
      <c r="B14" s="307">
        <v>0</v>
      </c>
    </row>
    <row r="15" spans="1:10" s="217" customFormat="1">
      <c r="A15" s="224" t="s">
        <v>249</v>
      </c>
      <c r="B15" s="307">
        <v>99.8</v>
      </c>
    </row>
    <row r="16" spans="1:10" s="217" customFormat="1">
      <c r="A16" s="224" t="s">
        <v>250</v>
      </c>
      <c r="B16" s="307">
        <v>0</v>
      </c>
    </row>
    <row r="17" spans="1:8" s="217" customFormat="1">
      <c r="A17" s="224" t="s">
        <v>251</v>
      </c>
      <c r="B17" s="307">
        <v>12.5</v>
      </c>
    </row>
    <row r="18" spans="1:8" s="217" customFormat="1">
      <c r="A18" s="224" t="s">
        <v>252</v>
      </c>
      <c r="B18" s="307">
        <v>4</v>
      </c>
    </row>
    <row r="19" spans="1:8" s="217" customFormat="1" ht="18" customHeight="1">
      <c r="A19" s="224" t="s">
        <v>253</v>
      </c>
      <c r="B19" s="307">
        <v>0</v>
      </c>
    </row>
    <row r="20" spans="1:8" s="217" customFormat="1">
      <c r="A20" s="224" t="s">
        <v>254</v>
      </c>
      <c r="B20" s="307">
        <v>5000000000</v>
      </c>
    </row>
    <row r="21" spans="1:8" s="217" customFormat="1">
      <c r="A21" s="224"/>
      <c r="B21" s="306"/>
    </row>
    <row r="22" spans="1:8" s="217" customFormat="1" ht="15.75">
      <c r="A22" s="221"/>
      <c r="B22" s="305"/>
    </row>
    <row r="23" spans="1:8" s="217" customFormat="1" ht="15.75">
      <c r="A23" s="221" t="s">
        <v>255</v>
      </c>
      <c r="B23" s="304">
        <f>K45</f>
        <v>2724.7956403269754</v>
      </c>
      <c r="C23" s="219" t="str">
        <f>IF(H32,H28,"")</f>
        <v/>
      </c>
    </row>
    <row r="24" spans="1:8" s="217" customFormat="1" ht="15" hidden="1" customHeight="1"/>
    <row r="25" spans="1:8" s="217" customFormat="1" hidden="1">
      <c r="H25" s="234" t="s">
        <v>581</v>
      </c>
    </row>
    <row r="26" spans="1:8" s="217" customFormat="1" hidden="1">
      <c r="H26" s="234" t="s">
        <v>580</v>
      </c>
    </row>
    <row r="27" spans="1:8" s="217" customFormat="1" hidden="1">
      <c r="H27" s="234" t="s">
        <v>579</v>
      </c>
    </row>
    <row r="28" spans="1:8" s="217" customFormat="1" hidden="1">
      <c r="H28" s="234" t="s">
        <v>578</v>
      </c>
    </row>
    <row r="29" spans="1:8" s="217" customFormat="1" hidden="1">
      <c r="H29" s="234" t="s">
        <v>577</v>
      </c>
    </row>
    <row r="30" spans="1:8" s="217" customFormat="1" hidden="1">
      <c r="H30" s="234" t="s">
        <v>576</v>
      </c>
    </row>
    <row r="31" spans="1:8" s="217" customFormat="1" hidden="1">
      <c r="H31" s="234" t="s">
        <v>575</v>
      </c>
    </row>
    <row r="32" spans="1:8" s="217" customFormat="1" hidden="1">
      <c r="H32" s="234">
        <f>IF(OR(OR(B4&gt;B2,B4&lt;4),OR(B5&gt;B3,B5&lt;2),OR(AND(B6=2,B8=2),AND(B6=4,B8=4),AND(B6=2,B8=4),AND(B6=4,B8=2)),OR(AND(B7=2,B9=2),AND(B7=4,B9=4),AND(B7=2,B9=4),AND(B7=4,B9=2))),1,0)</f>
        <v>0</v>
      </c>
    </row>
    <row r="33" spans="2:47" s="217" customFormat="1" hidden="1"/>
    <row r="34" spans="2:47" s="217" customFormat="1" hidden="1"/>
    <row r="35" spans="2:47" s="217" customFormat="1" hidden="1"/>
    <row r="36" spans="2:47" s="217" customFormat="1" hidden="1"/>
    <row r="37" spans="2:47" s="217" customFormat="1" hidden="1"/>
    <row r="38" spans="2:47" s="217" customFormat="1" hidden="1"/>
    <row r="39" spans="2:47" s="217" customFormat="1" hidden="1">
      <c r="B39" s="218"/>
      <c r="C39" s="218"/>
      <c r="E39" s="218"/>
      <c r="F39" s="218"/>
      <c r="T39" s="218"/>
      <c r="U39" s="218"/>
      <c r="V39" s="218"/>
      <c r="W39" s="218"/>
      <c r="X39" s="218"/>
      <c r="Y39" s="218"/>
    </row>
    <row r="40" spans="2:47" ht="27.75" hidden="1" customHeight="1">
      <c r="B40" s="303" t="s">
        <v>0</v>
      </c>
      <c r="C40" s="303" t="s">
        <v>1</v>
      </c>
      <c r="D40" s="302" t="s">
        <v>291</v>
      </c>
      <c r="E40" s="261"/>
      <c r="F40" s="261"/>
      <c r="G40" s="261"/>
      <c r="H40" s="398" t="s">
        <v>3</v>
      </c>
      <c r="I40" s="399"/>
      <c r="J40" s="399"/>
      <c r="K40" s="399"/>
      <c r="L40" s="400"/>
      <c r="M40" s="279"/>
      <c r="N40" s="398" t="s">
        <v>4</v>
      </c>
      <c r="O40" s="399"/>
      <c r="P40" s="399"/>
      <c r="Q40" s="399"/>
      <c r="R40" s="400"/>
      <c r="S40" s="279"/>
      <c r="T40" s="401" t="s">
        <v>5</v>
      </c>
      <c r="U40" s="402"/>
      <c r="V40" s="402"/>
      <c r="W40" s="402"/>
      <c r="X40" s="402"/>
      <c r="Y40" s="402"/>
      <c r="Z40" s="402"/>
      <c r="AA40" s="402"/>
      <c r="AB40" s="402"/>
      <c r="AC40" s="402"/>
      <c r="AD40" s="402"/>
      <c r="AE40" s="402"/>
      <c r="AF40" s="402"/>
      <c r="AG40" s="402"/>
      <c r="AH40" s="402"/>
      <c r="AI40" s="402"/>
      <c r="AJ40" s="402"/>
      <c r="AK40" s="402"/>
      <c r="AL40" s="402"/>
      <c r="AM40" s="402"/>
      <c r="AN40" s="402"/>
      <c r="AO40" s="402"/>
      <c r="AP40" s="402"/>
      <c r="AQ40" s="402"/>
      <c r="AR40" s="402"/>
      <c r="AS40" s="402"/>
      <c r="AT40" s="402"/>
      <c r="AU40" s="403"/>
    </row>
    <row r="41" spans="2:47" ht="45" hidden="1">
      <c r="B41" s="398" t="s">
        <v>264</v>
      </c>
      <c r="C41" s="399"/>
      <c r="D41" s="399"/>
      <c r="E41" s="399"/>
      <c r="F41" s="400"/>
      <c r="G41" s="261"/>
      <c r="H41" s="392" t="s">
        <v>7</v>
      </c>
      <c r="I41" s="393"/>
      <c r="J41" s="393"/>
      <c r="K41" s="393"/>
      <c r="L41" s="394"/>
      <c r="M41" s="279"/>
      <c r="N41" s="392" t="s">
        <v>265</v>
      </c>
      <c r="O41" s="393"/>
      <c r="P41" s="393"/>
      <c r="Q41" s="393"/>
      <c r="R41" s="394"/>
      <c r="S41" s="279"/>
      <c r="T41" s="301" t="s">
        <v>9</v>
      </c>
      <c r="U41" s="300" t="s">
        <v>10</v>
      </c>
      <c r="V41" s="300" t="s">
        <v>11</v>
      </c>
      <c r="W41" s="300" t="s">
        <v>266</v>
      </c>
      <c r="X41" s="300" t="s">
        <v>267</v>
      </c>
      <c r="Y41" s="300" t="s">
        <v>268</v>
      </c>
      <c r="Z41" s="300" t="s">
        <v>269</v>
      </c>
      <c r="AA41" s="300" t="s">
        <v>270</v>
      </c>
      <c r="AB41" s="300" t="s">
        <v>271</v>
      </c>
      <c r="AC41" s="300" t="s">
        <v>272</v>
      </c>
      <c r="AD41" s="300" t="s">
        <v>273</v>
      </c>
      <c r="AE41" s="300" t="s">
        <v>274</v>
      </c>
      <c r="AF41" s="300" t="s">
        <v>275</v>
      </c>
      <c r="AG41" s="300" t="s">
        <v>276</v>
      </c>
      <c r="AH41" s="300" t="s">
        <v>277</v>
      </c>
      <c r="AI41" s="300" t="s">
        <v>278</v>
      </c>
      <c r="AJ41" s="300" t="s">
        <v>279</v>
      </c>
      <c r="AK41" s="300" t="s">
        <v>280</v>
      </c>
      <c r="AL41" s="300" t="s">
        <v>281</v>
      </c>
      <c r="AM41" s="300" t="s">
        <v>282</v>
      </c>
      <c r="AN41" s="300" t="s">
        <v>283</v>
      </c>
      <c r="AO41" s="300" t="s">
        <v>284</v>
      </c>
      <c r="AP41" s="300" t="s">
        <v>285</v>
      </c>
      <c r="AQ41" s="300" t="s">
        <v>286</v>
      </c>
      <c r="AR41" s="300" t="s">
        <v>287</v>
      </c>
      <c r="AS41" s="300" t="s">
        <v>288</v>
      </c>
      <c r="AT41" s="300" t="s">
        <v>289</v>
      </c>
      <c r="AU41" s="299" t="s">
        <v>290</v>
      </c>
    </row>
    <row r="42" spans="2:47" ht="30" hidden="1">
      <c r="B42" s="269" t="s">
        <v>40</v>
      </c>
      <c r="C42" s="268" t="s">
        <v>41</v>
      </c>
      <c r="D42" s="268" t="s">
        <v>42</v>
      </c>
      <c r="E42" s="268" t="s">
        <v>43</v>
      </c>
      <c r="F42" s="298" t="s">
        <v>46</v>
      </c>
      <c r="G42" s="261"/>
      <c r="H42" s="297" t="s">
        <v>40</v>
      </c>
      <c r="I42" s="296" t="s">
        <v>41</v>
      </c>
      <c r="J42" s="296" t="s">
        <v>44</v>
      </c>
      <c r="K42" s="296" t="s">
        <v>45</v>
      </c>
      <c r="L42" s="295" t="s">
        <v>46</v>
      </c>
      <c r="M42" s="279"/>
      <c r="N42" s="269" t="s">
        <v>40</v>
      </c>
      <c r="O42" s="268" t="s">
        <v>41</v>
      </c>
      <c r="P42" s="268" t="s">
        <v>44</v>
      </c>
      <c r="Q42" s="268" t="s">
        <v>47</v>
      </c>
      <c r="R42" s="267" t="s">
        <v>46</v>
      </c>
      <c r="S42" s="279"/>
      <c r="T42" s="256" t="s">
        <v>291</v>
      </c>
      <c r="U42" s="255" t="s">
        <v>48</v>
      </c>
      <c r="V42" s="255">
        <v>60</v>
      </c>
      <c r="W42" s="255">
        <v>96</v>
      </c>
      <c r="X42" s="293">
        <v>1</v>
      </c>
      <c r="Y42" s="293">
        <v>48</v>
      </c>
      <c r="Z42" s="293">
        <v>128</v>
      </c>
      <c r="AA42" s="293">
        <v>4</v>
      </c>
      <c r="AB42" s="255">
        <v>5376</v>
      </c>
      <c r="AC42" s="255">
        <v>1</v>
      </c>
      <c r="AD42" s="255">
        <v>5376</v>
      </c>
      <c r="AE42" s="255">
        <v>5184</v>
      </c>
      <c r="AF42" s="293">
        <f>ROUNDUP((7*$Q$44/$Q$43)*1000,0)+ROUNDUP(11*$Q$56,0)</f>
        <v>23254</v>
      </c>
      <c r="AG42" s="293">
        <f>ROUNDUP((7*$Q$60/$Q$43)*1000,0)+ROUNDUP(11*$Q$61,0)</f>
        <v>23254</v>
      </c>
      <c r="AH42" s="292">
        <v>124</v>
      </c>
      <c r="AI42" s="292">
        <v>1</v>
      </c>
      <c r="AJ42" s="292">
        <v>3</v>
      </c>
      <c r="AK42" s="292">
        <v>742</v>
      </c>
      <c r="AL42" s="292">
        <v>6</v>
      </c>
      <c r="AM42" s="292">
        <v>14</v>
      </c>
      <c r="AN42" s="255">
        <v>1</v>
      </c>
      <c r="AO42" s="255" t="s">
        <v>292</v>
      </c>
      <c r="AP42" s="255">
        <v>10000</v>
      </c>
      <c r="AQ42" s="292">
        <v>5120</v>
      </c>
      <c r="AR42" s="292">
        <v>5120</v>
      </c>
      <c r="AS42" s="292">
        <v>150</v>
      </c>
      <c r="AT42" s="255">
        <v>1</v>
      </c>
      <c r="AU42" s="291">
        <v>1</v>
      </c>
    </row>
    <row r="43" spans="2:47" ht="30" hidden="1">
      <c r="B43" s="392" t="s">
        <v>51</v>
      </c>
      <c r="C43" s="393"/>
      <c r="D43" s="393"/>
      <c r="E43" s="393"/>
      <c r="F43" s="394"/>
      <c r="G43" s="261"/>
      <c r="H43" s="259" t="s">
        <v>52</v>
      </c>
      <c r="I43" s="258" t="s">
        <v>53</v>
      </c>
      <c r="J43" s="247" t="s">
        <v>293</v>
      </c>
      <c r="K43" s="294">
        <f>Q61</f>
        <v>1292</v>
      </c>
      <c r="L43" s="251" t="s">
        <v>55</v>
      </c>
      <c r="M43" s="279"/>
      <c r="N43" s="259" t="s">
        <v>56</v>
      </c>
      <c r="O43" s="258" t="s">
        <v>57</v>
      </c>
      <c r="P43" s="258" t="s">
        <v>58</v>
      </c>
      <c r="Q43" s="257">
        <f>VLOOKUP($D$40,$T$42:$AU$49,4,FALSE)</f>
        <v>96</v>
      </c>
      <c r="R43" s="251" t="s">
        <v>59</v>
      </c>
      <c r="S43" s="279"/>
      <c r="T43" s="256" t="s">
        <v>263</v>
      </c>
      <c r="U43" s="255" t="s">
        <v>294</v>
      </c>
      <c r="V43" s="255">
        <v>60</v>
      </c>
      <c r="W43" s="255">
        <v>80</v>
      </c>
      <c r="X43" s="293">
        <v>3</v>
      </c>
      <c r="Y43" s="293">
        <v>38</v>
      </c>
      <c r="Z43" s="293">
        <v>82</v>
      </c>
      <c r="AA43" s="293">
        <v>4</v>
      </c>
      <c r="AB43" s="255">
        <v>16720</v>
      </c>
      <c r="AC43" s="255">
        <v>1</v>
      </c>
      <c r="AD43" s="255">
        <v>16720</v>
      </c>
      <c r="AE43" s="255">
        <v>9256</v>
      </c>
      <c r="AF43" s="293">
        <f>ROUNDUP((6*$Q$44/$Q$43)*1000,0)+ROUNDUP(201*$Q$56,0)</f>
        <v>267442</v>
      </c>
      <c r="AG43" s="293">
        <f>ROUNDUP((6*$Q$60/$Q$43)*1000,0)+ROUNDUP(201*$Q$61,0)</f>
        <v>267442</v>
      </c>
      <c r="AH43" s="292">
        <v>260</v>
      </c>
      <c r="AI43" s="292">
        <v>2</v>
      </c>
      <c r="AJ43" s="292">
        <v>3</v>
      </c>
      <c r="AK43" s="292">
        <v>1500</v>
      </c>
      <c r="AL43" s="292">
        <v>8</v>
      </c>
      <c r="AM43" s="292">
        <v>10</v>
      </c>
      <c r="AN43" s="255">
        <v>1</v>
      </c>
      <c r="AO43" s="255" t="s">
        <v>295</v>
      </c>
      <c r="AP43" s="255">
        <v>60000</v>
      </c>
      <c r="AQ43" s="292">
        <v>16544</v>
      </c>
      <c r="AR43" s="292">
        <v>9200</v>
      </c>
      <c r="AS43" s="292">
        <v>16</v>
      </c>
      <c r="AT43" s="255">
        <v>1</v>
      </c>
      <c r="AU43" s="291">
        <v>1</v>
      </c>
    </row>
    <row r="44" spans="2:47" ht="330" hidden="1">
      <c r="B44" s="259" t="s">
        <v>60</v>
      </c>
      <c r="C44" s="258" t="s">
        <v>51</v>
      </c>
      <c r="D44" s="258" t="str">
        <f>VLOOKUP($D$40,$T$42:$AU$49,22,FALSE)</f>
        <v>像素格式(8/10)</v>
      </c>
      <c r="E44" s="275">
        <f>B12</f>
        <v>8</v>
      </c>
      <c r="F44" s="274" t="s">
        <v>66</v>
      </c>
      <c r="G44" s="261"/>
      <c r="H44" s="259" t="s">
        <v>61</v>
      </c>
      <c r="I44" s="258" t="s">
        <v>62</v>
      </c>
      <c r="J44" s="247" t="s">
        <v>296</v>
      </c>
      <c r="K44" s="294">
        <f>IF(E52=1,IF(E46="TriggerWidth",MAX(K47,K58,K49),MAX(K47,K48,K49)+K56),MAX(K47,K48,K49,K50)+K56)</f>
        <v>367</v>
      </c>
      <c r="L44" s="251" t="s">
        <v>64</v>
      </c>
      <c r="N44" s="259" t="s">
        <v>297</v>
      </c>
      <c r="O44" s="258" t="s">
        <v>65</v>
      </c>
      <c r="P44" s="258" t="s">
        <v>58</v>
      </c>
      <c r="Q44" s="257">
        <f>VLOOKUP($D$40,$T$42:$AU$49,15,FALSE)</f>
        <v>124</v>
      </c>
      <c r="R44" s="251" t="s">
        <v>298</v>
      </c>
      <c r="T44" s="256" t="s">
        <v>299</v>
      </c>
      <c r="U44" s="255" t="s">
        <v>300</v>
      </c>
      <c r="V44" s="255">
        <v>50</v>
      </c>
      <c r="W44" s="255">
        <v>90</v>
      </c>
      <c r="X44" s="293">
        <v>1</v>
      </c>
      <c r="Y44" s="293">
        <v>56</v>
      </c>
      <c r="Z44" s="293">
        <v>88</v>
      </c>
      <c r="AA44" s="293">
        <v>4</v>
      </c>
      <c r="AB44" s="255">
        <v>9520</v>
      </c>
      <c r="AC44" s="255">
        <v>1</v>
      </c>
      <c r="AD44" s="255">
        <v>9520</v>
      </c>
      <c r="AE44" s="255">
        <v>7056</v>
      </c>
      <c r="AF44" s="293">
        <f>ROUNDUP((7*$Q$44/$Q$43)*1000,0)+ROUNDUP(10*$Q$56,0)</f>
        <v>21962</v>
      </c>
      <c r="AG44" s="293">
        <f>ROUNDUP((7*$Q$60/$Q$43)*1000,0)+ROUNDUP(10*$Q$61,0)</f>
        <v>21962</v>
      </c>
      <c r="AH44" s="292">
        <v>180</v>
      </c>
      <c r="AI44" s="292">
        <v>1</v>
      </c>
      <c r="AJ44" s="292">
        <v>3</v>
      </c>
      <c r="AK44" s="292">
        <v>1068</v>
      </c>
      <c r="AL44" s="292">
        <v>6</v>
      </c>
      <c r="AM44" s="292">
        <v>14</v>
      </c>
      <c r="AN44" s="255">
        <v>1</v>
      </c>
      <c r="AO44" s="255" t="s">
        <v>292</v>
      </c>
      <c r="AP44" s="255">
        <v>10000</v>
      </c>
      <c r="AQ44" s="292">
        <v>9344</v>
      </c>
      <c r="AR44" s="292">
        <v>7000</v>
      </c>
      <c r="AS44" s="292">
        <v>71</v>
      </c>
      <c r="AT44" s="255">
        <v>1</v>
      </c>
      <c r="AU44" s="291">
        <v>1</v>
      </c>
    </row>
    <row r="45" spans="2:47" ht="30.75" hidden="1" thickBot="1">
      <c r="B45" s="392" t="s">
        <v>67</v>
      </c>
      <c r="C45" s="393"/>
      <c r="D45" s="393"/>
      <c r="E45" s="393"/>
      <c r="F45" s="394"/>
      <c r="G45" s="261"/>
      <c r="H45" s="259" t="s">
        <v>68</v>
      </c>
      <c r="I45" s="258" t="s">
        <v>7</v>
      </c>
      <c r="J45" s="247" t="s">
        <v>69</v>
      </c>
      <c r="K45" s="290">
        <f>1000000/K44</f>
        <v>2724.7956403269754</v>
      </c>
      <c r="L45" s="251" t="s">
        <v>70</v>
      </c>
      <c r="N45" s="259" t="s">
        <v>301</v>
      </c>
      <c r="O45" s="258" t="s">
        <v>302</v>
      </c>
      <c r="P45" s="258" t="s">
        <v>58</v>
      </c>
      <c r="Q45" s="257">
        <f>VLOOKUP($D$40,$T$42:$AU$49,13,FALSE)</f>
        <v>23254</v>
      </c>
      <c r="R45" s="251" t="s">
        <v>55</v>
      </c>
      <c r="T45" s="289" t="s">
        <v>303</v>
      </c>
      <c r="U45" s="287" t="s">
        <v>300</v>
      </c>
      <c r="V45" s="287">
        <v>60</v>
      </c>
      <c r="W45" s="287">
        <v>80</v>
      </c>
      <c r="X45" s="287">
        <v>1</v>
      </c>
      <c r="Y45" s="287">
        <v>28</v>
      </c>
      <c r="Z45" s="288">
        <v>88</v>
      </c>
      <c r="AA45" s="287">
        <v>4</v>
      </c>
      <c r="AB45" s="285">
        <v>9520</v>
      </c>
      <c r="AC45" s="285">
        <v>1</v>
      </c>
      <c r="AD45" s="285">
        <v>9520</v>
      </c>
      <c r="AE45" s="285">
        <v>7056</v>
      </c>
      <c r="AF45" s="286">
        <f>ROUNDUP((6*$Q$44/$Q$43)*1000,0)+ROUNDUP(10*$Q$56,0)</f>
        <v>20670</v>
      </c>
      <c r="AG45" s="286">
        <f>ROUNDUP((6*$Q$60/$Q$43)*1000,0)+ROUNDUP(10*$Q$61,0)</f>
        <v>20670</v>
      </c>
      <c r="AH45" s="285">
        <v>180</v>
      </c>
      <c r="AI45" s="285">
        <v>2</v>
      </c>
      <c r="AJ45" s="285">
        <v>3</v>
      </c>
      <c r="AK45" s="285">
        <v>1068</v>
      </c>
      <c r="AL45" s="285">
        <v>6</v>
      </c>
      <c r="AM45" s="285">
        <v>14</v>
      </c>
      <c r="AN45" s="285">
        <v>1</v>
      </c>
      <c r="AO45" s="285" t="s">
        <v>295</v>
      </c>
      <c r="AP45" s="285">
        <v>30000</v>
      </c>
      <c r="AQ45" s="285">
        <v>9344</v>
      </c>
      <c r="AR45" s="285">
        <v>7000</v>
      </c>
      <c r="AS45" s="285">
        <v>31</v>
      </c>
      <c r="AT45" s="285">
        <v>1</v>
      </c>
      <c r="AU45" s="284">
        <v>1</v>
      </c>
    </row>
    <row r="46" spans="2:47" ht="30" hidden="1">
      <c r="B46" s="259" t="s">
        <v>304</v>
      </c>
      <c r="C46" s="258" t="s">
        <v>305</v>
      </c>
      <c r="D46" s="258" t="s">
        <v>306</v>
      </c>
      <c r="E46" s="275" t="s">
        <v>306</v>
      </c>
      <c r="F46" s="264" t="s">
        <v>66</v>
      </c>
      <c r="G46" s="261"/>
      <c r="H46" s="392" t="s">
        <v>74</v>
      </c>
      <c r="I46" s="393"/>
      <c r="J46" s="393"/>
      <c r="K46" s="393"/>
      <c r="L46" s="394"/>
      <c r="N46" s="259" t="s">
        <v>307</v>
      </c>
      <c r="O46" s="258" t="s">
        <v>308</v>
      </c>
      <c r="P46" s="258" t="s">
        <v>58</v>
      </c>
      <c r="Q46" s="257">
        <f>VLOOKUP($D$40,$T$42:$AU$49,14,FALSE)</f>
        <v>23254</v>
      </c>
      <c r="R46" s="251" t="s">
        <v>55</v>
      </c>
      <c r="T46" s="279"/>
      <c r="U46" s="279"/>
      <c r="V46" s="279"/>
      <c r="W46" s="279"/>
      <c r="X46" s="279"/>
      <c r="Y46" s="279"/>
      <c r="Z46" s="282"/>
      <c r="AA46" s="282"/>
    </row>
    <row r="47" spans="2:47" ht="30" hidden="1">
      <c r="B47" s="283" t="str">
        <f>"交叠曝光时间
(0-"&amp;D47&amp;")"</f>
        <v>交叠曝光时间
(0-343)</v>
      </c>
      <c r="C47" s="258" t="s">
        <v>309</v>
      </c>
      <c r="D47" s="258">
        <f>K47-ROUNDUP(Q46/1000,0)</f>
        <v>343</v>
      </c>
      <c r="E47" s="275">
        <v>59872</v>
      </c>
      <c r="F47" s="264" t="s">
        <v>64</v>
      </c>
      <c r="G47" s="261"/>
      <c r="H47" s="259" t="s">
        <v>79</v>
      </c>
      <c r="I47" s="258" t="s">
        <v>80</v>
      </c>
      <c r="J47" s="247" t="s">
        <v>310</v>
      </c>
      <c r="K47" s="246">
        <f>Q62</f>
        <v>367</v>
      </c>
      <c r="L47" s="280" t="s">
        <v>64</v>
      </c>
      <c r="N47" s="259" t="s">
        <v>311</v>
      </c>
      <c r="O47" s="258" t="s">
        <v>312</v>
      </c>
      <c r="P47" s="258" t="s">
        <v>58</v>
      </c>
      <c r="Q47" s="257">
        <f>VLOOKUP($D$40,$T$42:$AU$49,16,FALSE)</f>
        <v>1</v>
      </c>
      <c r="R47" s="251" t="s">
        <v>66</v>
      </c>
      <c r="T47" s="279"/>
      <c r="U47" s="279"/>
      <c r="V47" s="279"/>
      <c r="W47" s="279"/>
      <c r="X47" s="279"/>
      <c r="Y47" s="279"/>
      <c r="Z47" s="282"/>
      <c r="AA47" s="282"/>
    </row>
    <row r="48" spans="2:47" ht="90" hidden="1">
      <c r="B48" s="258" t="s">
        <v>67</v>
      </c>
      <c r="C48" s="258" t="s">
        <v>313</v>
      </c>
      <c r="D48" s="258">
        <f>VLOOKUP($D$40,$T$42:$AU$49,23,FALSE)</f>
        <v>10000</v>
      </c>
      <c r="E48" s="275">
        <f>B10</f>
        <v>100</v>
      </c>
      <c r="F48" s="264" t="s">
        <v>64</v>
      </c>
      <c r="G48" s="261"/>
      <c r="H48" s="259" t="s">
        <v>87</v>
      </c>
      <c r="I48" s="258" t="s">
        <v>88</v>
      </c>
      <c r="J48" s="247" t="s">
        <v>314</v>
      </c>
      <c r="K48" s="263">
        <f>ROUNDUP(E48-Q50/Q43+(Q49+Q54)*K43/1000+E49+Q46/1000,0)</f>
        <v>121</v>
      </c>
      <c r="L48" s="280" t="s">
        <v>64</v>
      </c>
      <c r="N48" s="259" t="s">
        <v>315</v>
      </c>
      <c r="O48" s="258" t="s">
        <v>316</v>
      </c>
      <c r="P48" s="258" t="s">
        <v>58</v>
      </c>
      <c r="Q48" s="257">
        <f>VLOOKUP($D$40,$T$42:$AU$49,20,FALSE)</f>
        <v>14</v>
      </c>
      <c r="R48" s="251" t="s">
        <v>317</v>
      </c>
      <c r="T48" s="279"/>
      <c r="U48" s="279"/>
      <c r="V48" s="279"/>
      <c r="W48" s="279"/>
      <c r="X48" s="279"/>
      <c r="Y48" s="279"/>
      <c r="Z48" s="282"/>
      <c r="AA48" s="282"/>
    </row>
    <row r="49" spans="2:19" ht="60" hidden="1">
      <c r="B49" s="258" t="s">
        <v>78</v>
      </c>
      <c r="C49" s="258" t="s">
        <v>318</v>
      </c>
      <c r="D49" s="258">
        <v>0</v>
      </c>
      <c r="E49" s="275">
        <f>B11</f>
        <v>0</v>
      </c>
      <c r="F49" s="264" t="s">
        <v>64</v>
      </c>
      <c r="G49" s="261"/>
      <c r="H49" s="259" t="s">
        <v>93</v>
      </c>
      <c r="I49" s="258" t="s">
        <v>94</v>
      </c>
      <c r="J49" s="258" t="s">
        <v>95</v>
      </c>
      <c r="K49" s="257">
        <f>ROUNDUP((1000000/E67)*E66,0)</f>
        <v>0</v>
      </c>
      <c r="L49" s="251" t="s">
        <v>64</v>
      </c>
      <c r="N49" s="259" t="s">
        <v>319</v>
      </c>
      <c r="O49" s="258" t="s">
        <v>320</v>
      </c>
      <c r="P49" s="258" t="s">
        <v>58</v>
      </c>
      <c r="Q49" s="257">
        <f>VLOOKUP($D$40,$T$42:$AU$49,17,FALSE)</f>
        <v>3</v>
      </c>
      <c r="R49" s="251" t="s">
        <v>317</v>
      </c>
    </row>
    <row r="50" spans="2:19" ht="90" hidden="1">
      <c r="B50" s="243" t="s">
        <v>321</v>
      </c>
      <c r="C50" s="247" t="s">
        <v>322</v>
      </c>
      <c r="D50" s="247" t="s">
        <v>66</v>
      </c>
      <c r="E50" s="275">
        <v>60000</v>
      </c>
      <c r="F50" s="264" t="s">
        <v>64</v>
      </c>
      <c r="G50" s="261"/>
      <c r="H50" s="259" t="s">
        <v>97</v>
      </c>
      <c r="I50" s="258" t="s">
        <v>323</v>
      </c>
      <c r="J50" s="258" t="s">
        <v>324</v>
      </c>
      <c r="K50" s="257">
        <f>E63*Q87</f>
        <v>0</v>
      </c>
      <c r="L50" s="251" t="s">
        <v>64</v>
      </c>
      <c r="N50" s="259" t="s">
        <v>325</v>
      </c>
      <c r="O50" s="258" t="s">
        <v>326</v>
      </c>
      <c r="P50" s="258" t="s">
        <v>58</v>
      </c>
      <c r="Q50" s="257">
        <f>VLOOKUP($D$40,$T$42:$AU$49,18,FALSE)</f>
        <v>742</v>
      </c>
      <c r="R50" s="251" t="s">
        <v>327</v>
      </c>
    </row>
    <row r="51" spans="2:19" ht="30" hidden="1">
      <c r="B51" s="392" t="s">
        <v>328</v>
      </c>
      <c r="C51" s="393"/>
      <c r="D51" s="393"/>
      <c r="E51" s="393"/>
      <c r="F51" s="394"/>
      <c r="G51" s="261"/>
      <c r="H51" s="259" t="s">
        <v>329</v>
      </c>
      <c r="I51" s="247" t="s">
        <v>330</v>
      </c>
      <c r="J51" s="247" t="s">
        <v>331</v>
      </c>
      <c r="K51" s="257">
        <f>Q88</f>
        <v>140</v>
      </c>
      <c r="L51" s="251" t="s">
        <v>64</v>
      </c>
      <c r="N51" s="259" t="s">
        <v>332</v>
      </c>
      <c r="O51" s="258" t="s">
        <v>333</v>
      </c>
      <c r="P51" s="258" t="s">
        <v>58</v>
      </c>
      <c r="Q51" s="257">
        <f>VLOOKUP($D$40,$T$42:$AU$49,19,FALSE)</f>
        <v>6</v>
      </c>
      <c r="R51" s="251" t="s">
        <v>317</v>
      </c>
    </row>
    <row r="52" spans="2:19" ht="30" hidden="1">
      <c r="B52" s="248" t="s">
        <v>334</v>
      </c>
      <c r="C52" s="247" t="s">
        <v>248</v>
      </c>
      <c r="D52" s="247">
        <v>0</v>
      </c>
      <c r="E52" s="265">
        <f>B14</f>
        <v>0</v>
      </c>
      <c r="F52" s="245" t="s">
        <v>66</v>
      </c>
      <c r="G52" s="261"/>
      <c r="H52" s="392" t="s">
        <v>335</v>
      </c>
      <c r="I52" s="393"/>
      <c r="J52" s="393"/>
      <c r="K52" s="393"/>
      <c r="L52" s="394"/>
      <c r="N52" s="259" t="s">
        <v>336</v>
      </c>
      <c r="O52" s="258" t="s">
        <v>337</v>
      </c>
      <c r="P52" s="258" t="s">
        <v>58</v>
      </c>
      <c r="Q52" s="257">
        <f>VLOOKUP($D$40,$T$42:$AU$49,28,FALSE)</f>
        <v>1</v>
      </c>
      <c r="R52" s="251" t="s">
        <v>317</v>
      </c>
    </row>
    <row r="53" spans="2:19" ht="90" hidden="1">
      <c r="B53" s="258" t="s">
        <v>92</v>
      </c>
      <c r="C53" s="258" t="s">
        <v>338</v>
      </c>
      <c r="D53" s="258">
        <v>0</v>
      </c>
      <c r="E53" s="275">
        <v>0</v>
      </c>
      <c r="F53" s="274" t="s">
        <v>64</v>
      </c>
      <c r="G53" s="261"/>
      <c r="H53" s="248" t="s">
        <v>73</v>
      </c>
      <c r="I53" s="247" t="s">
        <v>339</v>
      </c>
      <c r="J53" s="247" t="s">
        <v>340</v>
      </c>
      <c r="K53" s="246">
        <f>ROUNDUP((1000*E48-1000*Q50/Q43)/1000,0)</f>
        <v>93</v>
      </c>
      <c r="L53" s="280" t="s">
        <v>64</v>
      </c>
      <c r="N53" s="259" t="s">
        <v>341</v>
      </c>
      <c r="O53" s="258" t="s">
        <v>342</v>
      </c>
      <c r="P53" s="258" t="s">
        <v>58</v>
      </c>
      <c r="Q53" s="257">
        <f>VLOOKUP($D$40,$T$42:$AU$49,27,FALSE)</f>
        <v>1</v>
      </c>
      <c r="R53" s="281" t="s">
        <v>66</v>
      </c>
      <c r="S53" s="279"/>
    </row>
    <row r="54" spans="2:19" ht="30" hidden="1">
      <c r="B54" s="392" t="s">
        <v>343</v>
      </c>
      <c r="C54" s="393"/>
      <c r="D54" s="393"/>
      <c r="E54" s="393"/>
      <c r="F54" s="394"/>
      <c r="G54" s="261"/>
      <c r="H54" s="248" t="s">
        <v>344</v>
      </c>
      <c r="I54" s="247" t="s">
        <v>345</v>
      </c>
      <c r="J54" s="247" t="s">
        <v>318</v>
      </c>
      <c r="K54" s="246">
        <f>E49</f>
        <v>0</v>
      </c>
      <c r="L54" s="280" t="s">
        <v>64</v>
      </c>
      <c r="N54" s="259" t="s">
        <v>346</v>
      </c>
      <c r="O54" s="258" t="s">
        <v>347</v>
      </c>
      <c r="P54" s="258" t="s">
        <v>58</v>
      </c>
      <c r="Q54" s="257">
        <f>VLOOKUP($D$40,$T$42:$AU$49,21,FALSE)</f>
        <v>1</v>
      </c>
      <c r="R54" s="251" t="s">
        <v>317</v>
      </c>
      <c r="S54" s="279"/>
    </row>
    <row r="55" spans="2:19" ht="195" hidden="1">
      <c r="B55" s="259" t="s">
        <v>348</v>
      </c>
      <c r="C55" s="258" t="s">
        <v>349</v>
      </c>
      <c r="D55" s="258">
        <v>0</v>
      </c>
      <c r="E55" s="275">
        <v>0</v>
      </c>
      <c r="F55" s="274" t="s">
        <v>298</v>
      </c>
      <c r="G55" s="261"/>
      <c r="H55" s="248" t="s">
        <v>350</v>
      </c>
      <c r="I55" s="247" t="s">
        <v>351</v>
      </c>
      <c r="J55" s="247" t="s">
        <v>352</v>
      </c>
      <c r="K55" s="263">
        <f>IF(Q53=1,IF((MAX(K47,K48,K49,K51)-K53)&lt;K47,(IF((MAX(K47,K48,K49,K51)-K53)&gt;=(K47-ROUNDUP(Q51*K43/1000,0)),1,0)),0),0)</f>
        <v>0</v>
      </c>
      <c r="L55" s="249" t="s">
        <v>66</v>
      </c>
      <c r="N55" s="392" t="s">
        <v>353</v>
      </c>
      <c r="O55" s="393"/>
      <c r="P55" s="393"/>
      <c r="Q55" s="393"/>
      <c r="R55" s="394"/>
      <c r="S55" s="279"/>
    </row>
    <row r="56" spans="2:19" ht="90" hidden="1">
      <c r="B56" s="248" t="s">
        <v>355</v>
      </c>
      <c r="C56" s="247" t="s">
        <v>356</v>
      </c>
      <c r="D56" s="247">
        <v>0</v>
      </c>
      <c r="E56" s="265">
        <v>0</v>
      </c>
      <c r="F56" s="264" t="s">
        <v>298</v>
      </c>
      <c r="G56" s="261"/>
      <c r="H56" s="248" t="s">
        <v>357</v>
      </c>
      <c r="I56" s="247" t="s">
        <v>358</v>
      </c>
      <c r="J56" s="247" t="s">
        <v>359</v>
      </c>
      <c r="K56" s="246">
        <f>IF(K55=1,K47-(MAX(K47,K48,K49,K51)-K53),0)</f>
        <v>0</v>
      </c>
      <c r="L56" s="249" t="s">
        <v>64</v>
      </c>
      <c r="N56" s="259" t="s">
        <v>360</v>
      </c>
      <c r="O56" s="258" t="s">
        <v>361</v>
      </c>
      <c r="P56" s="258" t="s">
        <v>362</v>
      </c>
      <c r="Q56" s="257">
        <f>ROUNDUP(1000*Q47*Q44/Q43,0)</f>
        <v>1292</v>
      </c>
      <c r="R56" s="251" t="s">
        <v>55</v>
      </c>
    </row>
    <row r="57" spans="2:19" ht="45" hidden="1">
      <c r="B57" s="248" t="s">
        <v>363</v>
      </c>
      <c r="C57" s="247" t="s">
        <v>238</v>
      </c>
      <c r="D57" s="247">
        <f>VLOOKUP($D$40,$T$42:$AU$49,24,FALSE)</f>
        <v>5120</v>
      </c>
      <c r="E57" s="265">
        <f>B4</f>
        <v>2560</v>
      </c>
      <c r="F57" s="264" t="s">
        <v>298</v>
      </c>
      <c r="G57" s="261"/>
      <c r="H57" s="392" t="s">
        <v>364</v>
      </c>
      <c r="I57" s="393"/>
      <c r="J57" s="393"/>
      <c r="K57" s="393"/>
      <c r="L57" s="394"/>
      <c r="N57" s="259" t="s">
        <v>365</v>
      </c>
      <c r="O57" s="258" t="s">
        <v>366</v>
      </c>
      <c r="P57" s="258" t="s">
        <v>367</v>
      </c>
      <c r="Q57" s="263">
        <f>INT((E58*E73*Q56)/1000)</f>
        <v>323</v>
      </c>
      <c r="R57" s="251" t="s">
        <v>64</v>
      </c>
    </row>
    <row r="58" spans="2:19" ht="225" hidden="1">
      <c r="B58" s="248" t="s">
        <v>371</v>
      </c>
      <c r="C58" s="247" t="s">
        <v>239</v>
      </c>
      <c r="D58" s="247">
        <f>VLOOKUP($D$40,$T$42:$AU$49,25,FALSE)</f>
        <v>5120</v>
      </c>
      <c r="E58" s="265">
        <f>B5</f>
        <v>250</v>
      </c>
      <c r="F58" s="264" t="s">
        <v>298</v>
      </c>
      <c r="H58" s="248" t="s">
        <v>372</v>
      </c>
      <c r="I58" s="247" t="s">
        <v>373</v>
      </c>
      <c r="J58" s="247" t="s">
        <v>374</v>
      </c>
      <c r="K58" s="246" t="str">
        <f>IF(AND(E52=1,E46="TriggerWidth"),ROUNDUP(Q62+IF(E50&gt;E47,E50-E47,0)+Q54*Q61/1000,0),"null")</f>
        <v>null</v>
      </c>
      <c r="L58" s="249" t="s">
        <v>64</v>
      </c>
      <c r="N58" s="259" t="s">
        <v>375</v>
      </c>
      <c r="O58" s="258" t="s">
        <v>376</v>
      </c>
      <c r="P58" s="258" t="s">
        <v>377</v>
      </c>
      <c r="Q58" s="257">
        <f>IF(K51&lt;=Q57,0,K51-Q57)</f>
        <v>0</v>
      </c>
      <c r="R58" s="251" t="s">
        <v>64</v>
      </c>
    </row>
    <row r="59" spans="2:19" ht="330" hidden="1">
      <c r="B59" s="392" t="s">
        <v>381</v>
      </c>
      <c r="C59" s="393"/>
      <c r="D59" s="393"/>
      <c r="E59" s="393"/>
      <c r="F59" s="394"/>
      <c r="H59" s="248" t="s">
        <v>382</v>
      </c>
      <c r="I59" s="247" t="s">
        <v>383</v>
      </c>
      <c r="J59" s="247" t="s">
        <v>384</v>
      </c>
      <c r="K59" s="246" t="str">
        <f>IF(AND(E52=1,E46="TriggerWidth"),ROUNDUP(IF(E50&gt;E47,E50-K43*Q49/1000+Q50/Q43,E47-K43*Q49/1000+Q50/Q43),0),"null")</f>
        <v>null</v>
      </c>
      <c r="L59" s="249" t="s">
        <v>64</v>
      </c>
      <c r="N59" s="259" t="s">
        <v>385</v>
      </c>
      <c r="O59" s="258" t="s">
        <v>386</v>
      </c>
      <c r="P59" s="258" t="s">
        <v>387</v>
      </c>
      <c r="Q59" s="257">
        <f>ROUNDUP(1000*Q58/(E58*E73),0)</f>
        <v>0</v>
      </c>
      <c r="R59" s="251" t="s">
        <v>55</v>
      </c>
    </row>
    <row r="60" spans="2:19" ht="75" hidden="1">
      <c r="B60" s="248" t="s">
        <v>391</v>
      </c>
      <c r="C60" s="247" t="s">
        <v>251</v>
      </c>
      <c r="D60" s="266" t="s">
        <v>66</v>
      </c>
      <c r="E60" s="265">
        <f>B17</f>
        <v>12.5</v>
      </c>
      <c r="F60" s="264" t="s">
        <v>392</v>
      </c>
      <c r="H60" s="392" t="s">
        <v>393</v>
      </c>
      <c r="I60" s="393"/>
      <c r="J60" s="393"/>
      <c r="K60" s="393"/>
      <c r="L60" s="394"/>
      <c r="N60" s="259" t="s">
        <v>65</v>
      </c>
      <c r="O60" s="258" t="s">
        <v>394</v>
      </c>
      <c r="P60" s="258" t="s">
        <v>395</v>
      </c>
      <c r="Q60" s="257">
        <f>ROUNDUP((ROUNDUP(Q59*Q43/Q47/1000,0)+Q44)/4,0)*4</f>
        <v>124</v>
      </c>
      <c r="R60" s="251" t="s">
        <v>298</v>
      </c>
    </row>
    <row r="61" spans="2:19" ht="60" hidden="1">
      <c r="B61" s="248" t="s">
        <v>400</v>
      </c>
      <c r="C61" s="247" t="s">
        <v>252</v>
      </c>
      <c r="D61" s="266" t="s">
        <v>66</v>
      </c>
      <c r="E61" s="265">
        <f>B18</f>
        <v>4</v>
      </c>
      <c r="F61" s="264" t="s">
        <v>66</v>
      </c>
      <c r="H61" s="248" t="s">
        <v>401</v>
      </c>
      <c r="I61" s="247" t="s">
        <v>402</v>
      </c>
      <c r="J61" s="247" t="s">
        <v>403</v>
      </c>
      <c r="K61" s="246">
        <f>K45*4*Q76*E58/1000000</f>
        <v>1743.8692098092642</v>
      </c>
      <c r="L61" s="245" t="s">
        <v>141</v>
      </c>
      <c r="N61" s="259" t="s">
        <v>293</v>
      </c>
      <c r="O61" s="258" t="s">
        <v>404</v>
      </c>
      <c r="P61" s="258" t="s">
        <v>405</v>
      </c>
      <c r="Q61" s="257">
        <f>ROUNDUP(1000*Q47*Q60/Q43,0)</f>
        <v>1292</v>
      </c>
      <c r="R61" s="251" t="s">
        <v>55</v>
      </c>
    </row>
    <row r="62" spans="2:19" ht="90" hidden="1">
      <c r="B62" s="248" t="s">
        <v>410</v>
      </c>
      <c r="C62" s="247" t="s">
        <v>247</v>
      </c>
      <c r="D62" s="266">
        <v>16384</v>
      </c>
      <c r="E62" s="265">
        <f>B13</f>
        <v>8192</v>
      </c>
      <c r="F62" s="264" t="s">
        <v>116</v>
      </c>
      <c r="H62" s="278" t="s">
        <v>411</v>
      </c>
      <c r="I62" s="189" t="s">
        <v>412</v>
      </c>
      <c r="J62" s="247" t="s">
        <v>413</v>
      </c>
      <c r="K62" s="246">
        <f>4*K45*Q82/1000000</f>
        <v>1759.923705722071</v>
      </c>
      <c r="L62" s="245" t="s">
        <v>141</v>
      </c>
      <c r="N62" s="259" t="s">
        <v>310</v>
      </c>
      <c r="O62" s="258" t="s">
        <v>414</v>
      </c>
      <c r="P62" s="258" t="s">
        <v>415</v>
      </c>
      <c r="Q62" s="257">
        <f>ROUNDUP(((E58*E73+Q48+Q52+Q54)*Q61+Q46)/1000,0)</f>
        <v>367</v>
      </c>
      <c r="R62" s="251" t="s">
        <v>64</v>
      </c>
    </row>
    <row r="63" spans="2:19" ht="39" hidden="1" customHeight="1">
      <c r="B63" s="248" t="s">
        <v>420</v>
      </c>
      <c r="C63" s="247" t="s">
        <v>253</v>
      </c>
      <c r="D63" s="266">
        <v>0</v>
      </c>
      <c r="E63" s="275">
        <f>B19</f>
        <v>0</v>
      </c>
      <c r="F63" s="264" t="s">
        <v>66</v>
      </c>
      <c r="H63" s="278" t="s">
        <v>421</v>
      </c>
      <c r="I63" s="189" t="s">
        <v>422</v>
      </c>
      <c r="J63" s="247" t="s">
        <v>423</v>
      </c>
      <c r="K63" s="246">
        <f>E61*E60*8*1000*(100-E76)/100/10/8</f>
        <v>4950</v>
      </c>
      <c r="L63" s="245" t="s">
        <v>141</v>
      </c>
      <c r="N63" s="395" t="s">
        <v>424</v>
      </c>
      <c r="O63" s="396"/>
      <c r="P63" s="396"/>
      <c r="Q63" s="396"/>
      <c r="R63" s="397"/>
    </row>
    <row r="64" spans="2:19" ht="36.75" hidden="1" customHeight="1">
      <c r="B64" s="248" t="s">
        <v>429</v>
      </c>
      <c r="C64" s="247" t="s">
        <v>254</v>
      </c>
      <c r="D64" s="266">
        <v>5000000000</v>
      </c>
      <c r="E64" s="265">
        <f>B20</f>
        <v>5000000000</v>
      </c>
      <c r="F64" s="264" t="s">
        <v>430</v>
      </c>
      <c r="H64" s="277" t="s">
        <v>431</v>
      </c>
      <c r="I64" s="187" t="s">
        <v>432</v>
      </c>
      <c r="J64" s="239" t="s">
        <v>433</v>
      </c>
      <c r="K64" s="238">
        <f>4*Q76*1000000000/Q61/1000000</f>
        <v>1981.4241486068111</v>
      </c>
      <c r="L64" s="276" t="s">
        <v>141</v>
      </c>
      <c r="N64" s="269" t="s">
        <v>40</v>
      </c>
      <c r="O64" s="268" t="s">
        <v>41</v>
      </c>
      <c r="P64" s="268" t="s">
        <v>44</v>
      </c>
      <c r="Q64" s="268" t="s">
        <v>47</v>
      </c>
      <c r="R64" s="267" t="s">
        <v>46</v>
      </c>
    </row>
    <row r="65" spans="2:18" ht="40.5" hidden="1" customHeight="1">
      <c r="B65" s="392" t="s">
        <v>437</v>
      </c>
      <c r="C65" s="393"/>
      <c r="D65" s="393"/>
      <c r="E65" s="393"/>
      <c r="F65" s="394"/>
      <c r="N65" s="259" t="s">
        <v>438</v>
      </c>
      <c r="O65" s="258" t="s">
        <v>439</v>
      </c>
      <c r="P65" s="258" t="s">
        <v>440</v>
      </c>
      <c r="Q65" s="257">
        <v>1</v>
      </c>
      <c r="R65" s="251" t="s">
        <v>441</v>
      </c>
    </row>
    <row r="66" spans="2:18" ht="40.5" hidden="1" customHeight="1">
      <c r="B66" s="259" t="s">
        <v>445</v>
      </c>
      <c r="C66" s="258" t="s">
        <v>446</v>
      </c>
      <c r="D66" s="258">
        <v>0</v>
      </c>
      <c r="E66" s="275">
        <f>B16</f>
        <v>0</v>
      </c>
      <c r="F66" s="274" t="s">
        <v>66</v>
      </c>
      <c r="N66" s="259" t="s">
        <v>447</v>
      </c>
      <c r="O66" s="258" t="s">
        <v>448</v>
      </c>
      <c r="P66" s="258" t="s">
        <v>440</v>
      </c>
      <c r="Q66" s="257">
        <v>1</v>
      </c>
      <c r="R66" s="251" t="s">
        <v>441</v>
      </c>
    </row>
    <row r="67" spans="2:18" ht="42" hidden="1" customHeight="1">
      <c r="B67" s="273" t="s">
        <v>183</v>
      </c>
      <c r="C67" s="272" t="s">
        <v>450</v>
      </c>
      <c r="D67" s="272">
        <f>VLOOKUP($D$40,$T$42:$AU$49,26,FALSE)</f>
        <v>150</v>
      </c>
      <c r="E67" s="271">
        <f>B15</f>
        <v>99.8</v>
      </c>
      <c r="F67" s="270" t="s">
        <v>70</v>
      </c>
      <c r="N67" s="259" t="s">
        <v>451</v>
      </c>
      <c r="O67" s="258" t="s">
        <v>452</v>
      </c>
      <c r="P67" s="258" t="s">
        <v>453</v>
      </c>
      <c r="Q67" s="257">
        <v>4</v>
      </c>
      <c r="R67" s="251" t="s">
        <v>441</v>
      </c>
    </row>
    <row r="68" spans="2:18" ht="41.25" hidden="1" customHeight="1">
      <c r="B68" s="392" t="s">
        <v>454</v>
      </c>
      <c r="C68" s="393"/>
      <c r="D68" s="393"/>
      <c r="E68" s="393"/>
      <c r="F68" s="394"/>
      <c r="N68" s="259" t="s">
        <v>455</v>
      </c>
      <c r="O68" s="258" t="s">
        <v>456</v>
      </c>
      <c r="P68" s="258" t="s">
        <v>440</v>
      </c>
      <c r="Q68" s="257">
        <v>1</v>
      </c>
      <c r="R68" s="251" t="s">
        <v>441</v>
      </c>
    </row>
    <row r="69" spans="2:18" ht="30" hidden="1">
      <c r="B69" s="259" t="s">
        <v>460</v>
      </c>
      <c r="C69" s="258" t="s">
        <v>461</v>
      </c>
      <c r="D69" s="258">
        <v>1</v>
      </c>
      <c r="E69" s="275">
        <f>B8</f>
        <v>1</v>
      </c>
      <c r="F69" s="274" t="s">
        <v>66</v>
      </c>
      <c r="N69" s="259" t="s">
        <v>462</v>
      </c>
      <c r="O69" s="258" t="s">
        <v>463</v>
      </c>
      <c r="P69" s="258" t="s">
        <v>440</v>
      </c>
      <c r="Q69" s="257">
        <v>1</v>
      </c>
      <c r="R69" s="251" t="s">
        <v>441</v>
      </c>
    </row>
    <row r="70" spans="2:18" ht="30" hidden="1">
      <c r="B70" s="273" t="s">
        <v>467</v>
      </c>
      <c r="C70" s="272" t="s">
        <v>468</v>
      </c>
      <c r="D70" s="272">
        <v>1</v>
      </c>
      <c r="E70" s="271">
        <f>B9</f>
        <v>1</v>
      </c>
      <c r="F70" s="270" t="s">
        <v>66</v>
      </c>
      <c r="N70" s="259" t="s">
        <v>469</v>
      </c>
      <c r="O70" s="258" t="s">
        <v>470</v>
      </c>
      <c r="P70" s="258" t="s">
        <v>471</v>
      </c>
      <c r="Q70" s="257">
        <v>4</v>
      </c>
      <c r="R70" s="251" t="s">
        <v>441</v>
      </c>
    </row>
    <row r="71" spans="2:18" ht="135" hidden="1">
      <c r="B71" s="392" t="s">
        <v>475</v>
      </c>
      <c r="C71" s="393"/>
      <c r="D71" s="393"/>
      <c r="E71" s="393"/>
      <c r="F71" s="394"/>
      <c r="N71" s="259" t="s">
        <v>476</v>
      </c>
      <c r="O71" s="247" t="s">
        <v>477</v>
      </c>
      <c r="P71" s="258" t="s">
        <v>478</v>
      </c>
      <c r="Q71" s="257">
        <f>Q65+Q66+Q67+Q68+Q69</f>
        <v>8</v>
      </c>
      <c r="R71" s="251" t="s">
        <v>441</v>
      </c>
    </row>
    <row r="72" spans="2:18" ht="30" hidden="1">
      <c r="B72" s="259" t="s">
        <v>482</v>
      </c>
      <c r="C72" s="258" t="s">
        <v>483</v>
      </c>
      <c r="D72" s="258">
        <v>1</v>
      </c>
      <c r="E72" s="275">
        <f>B6</f>
        <v>1</v>
      </c>
      <c r="F72" s="274" t="s">
        <v>66</v>
      </c>
      <c r="N72" s="392" t="s">
        <v>484</v>
      </c>
      <c r="O72" s="393"/>
      <c r="P72" s="393"/>
      <c r="Q72" s="393"/>
      <c r="R72" s="394"/>
    </row>
    <row r="73" spans="2:18" ht="30" hidden="1">
      <c r="B73" s="273" t="s">
        <v>489</v>
      </c>
      <c r="C73" s="272" t="s">
        <v>490</v>
      </c>
      <c r="D73" s="272">
        <v>1</v>
      </c>
      <c r="E73" s="271">
        <f>B7</f>
        <v>1</v>
      </c>
      <c r="F73" s="270" t="s">
        <v>66</v>
      </c>
      <c r="N73" s="269" t="s">
        <v>40</v>
      </c>
      <c r="O73" s="268" t="s">
        <v>41</v>
      </c>
      <c r="P73" s="268" t="s">
        <v>44</v>
      </c>
      <c r="Q73" s="268" t="s">
        <v>47</v>
      </c>
      <c r="R73" s="267" t="s">
        <v>46</v>
      </c>
    </row>
    <row r="74" spans="2:18" hidden="1">
      <c r="B74" s="383" t="s">
        <v>495</v>
      </c>
      <c r="C74" s="384"/>
      <c r="D74" s="384"/>
      <c r="E74" s="384"/>
      <c r="F74" s="385"/>
      <c r="N74" s="259" t="s">
        <v>496</v>
      </c>
      <c r="O74" s="247" t="s">
        <v>497</v>
      </c>
      <c r="P74" s="258" t="s">
        <v>498</v>
      </c>
      <c r="Q74" s="257">
        <v>25</v>
      </c>
      <c r="R74" s="251" t="s">
        <v>441</v>
      </c>
    </row>
    <row r="75" spans="2:18" ht="60" hidden="1">
      <c r="B75" s="248" t="s">
        <v>503</v>
      </c>
      <c r="C75" s="247" t="s">
        <v>504</v>
      </c>
      <c r="D75" s="266">
        <v>0</v>
      </c>
      <c r="E75" s="265">
        <v>0</v>
      </c>
      <c r="F75" s="264" t="s">
        <v>441</v>
      </c>
      <c r="N75" s="259" t="s">
        <v>505</v>
      </c>
      <c r="O75" s="247" t="s">
        <v>506</v>
      </c>
      <c r="P75" s="258" t="s">
        <v>507</v>
      </c>
      <c r="Q75" s="257">
        <v>2</v>
      </c>
      <c r="R75" s="251" t="s">
        <v>441</v>
      </c>
    </row>
    <row r="76" spans="2:18" ht="195" hidden="1">
      <c r="B76" s="248" t="s">
        <v>511</v>
      </c>
      <c r="C76" s="247" t="s">
        <v>512</v>
      </c>
      <c r="D76" s="266">
        <v>1</v>
      </c>
      <c r="E76" s="265">
        <v>1</v>
      </c>
      <c r="F76" s="264" t="s">
        <v>513</v>
      </c>
      <c r="N76" s="259" t="s">
        <v>457</v>
      </c>
      <c r="O76" s="247" t="s">
        <v>459</v>
      </c>
      <c r="P76" s="258" t="s">
        <v>514</v>
      </c>
      <c r="Q76" s="263">
        <f>ROUNDUP(E57*2*E44/16/4,0)</f>
        <v>640</v>
      </c>
      <c r="R76" s="251" t="s">
        <v>441</v>
      </c>
    </row>
    <row r="77" spans="2:18" ht="45" hidden="1">
      <c r="B77" s="386" t="s">
        <v>515</v>
      </c>
      <c r="C77" s="387"/>
      <c r="D77" s="387"/>
      <c r="E77" s="387"/>
      <c r="F77" s="388"/>
      <c r="N77" s="248" t="s">
        <v>516</v>
      </c>
      <c r="O77" s="247" t="s">
        <v>517</v>
      </c>
      <c r="P77" s="258" t="s">
        <v>518</v>
      </c>
      <c r="Q77" s="263">
        <f>E58*(Q75+Q76)+Q74</f>
        <v>160525</v>
      </c>
      <c r="R77" s="251" t="s">
        <v>441</v>
      </c>
    </row>
    <row r="78" spans="2:18" ht="90.75" hidden="1" thickBot="1">
      <c r="B78" s="262" t="s">
        <v>7</v>
      </c>
      <c r="C78" s="389" t="s">
        <v>519</v>
      </c>
      <c r="D78" s="389"/>
      <c r="E78" s="390">
        <f>K45</f>
        <v>2724.7956403269754</v>
      </c>
      <c r="F78" s="391"/>
      <c r="N78" s="248" t="s">
        <v>479</v>
      </c>
      <c r="O78" s="247" t="s">
        <v>481</v>
      </c>
      <c r="P78" s="258" t="s">
        <v>520</v>
      </c>
      <c r="Q78" s="257">
        <f>IF(E62/4&gt;=Q71,E62/4-Q71,0)</f>
        <v>2040</v>
      </c>
      <c r="R78" s="251" t="s">
        <v>441</v>
      </c>
    </row>
    <row r="79" spans="2:18" ht="90" hidden="1">
      <c r="N79" s="259" t="s">
        <v>488</v>
      </c>
      <c r="O79" s="247" t="s">
        <v>487</v>
      </c>
      <c r="P79" s="258" t="s">
        <v>521</v>
      </c>
      <c r="Q79" s="260">
        <f>IF(Q78=0,0,INT(Q77/Q78))</f>
        <v>78</v>
      </c>
      <c r="R79" s="251" t="s">
        <v>66</v>
      </c>
    </row>
    <row r="80" spans="2:18" ht="120" hidden="1">
      <c r="J80" s="261"/>
      <c r="N80" s="259" t="s">
        <v>494</v>
      </c>
      <c r="O80" s="247" t="s">
        <v>493</v>
      </c>
      <c r="P80" s="258" t="s">
        <v>522</v>
      </c>
      <c r="Q80" s="260">
        <f>IF(Q78=0,0,Q77-Q78*Q79)</f>
        <v>1405</v>
      </c>
      <c r="R80" s="251" t="s">
        <v>441</v>
      </c>
    </row>
    <row r="81" spans="1:18" ht="30" hidden="1">
      <c r="N81" s="259" t="s">
        <v>523</v>
      </c>
      <c r="O81" s="247" t="s">
        <v>524</v>
      </c>
      <c r="P81" s="258" t="s">
        <v>525</v>
      </c>
      <c r="Q81" s="257">
        <f>IF(Q80=0,0,1)</f>
        <v>1</v>
      </c>
      <c r="R81" s="251" t="s">
        <v>66</v>
      </c>
    </row>
    <row r="82" spans="1:18" ht="120" hidden="1">
      <c r="N82" s="256" t="s">
        <v>526</v>
      </c>
      <c r="O82" s="255" t="s">
        <v>527</v>
      </c>
      <c r="P82" s="255" t="s">
        <v>528</v>
      </c>
      <c r="Q82" s="254">
        <f>Q79*(Q78+Q71+Q70)+Q81*(Q80+Q71+Q70)</f>
        <v>161473</v>
      </c>
      <c r="R82" s="253" t="s">
        <v>441</v>
      </c>
    </row>
    <row r="83" spans="1:18" ht="75" hidden="1">
      <c r="N83" s="248" t="s">
        <v>529</v>
      </c>
      <c r="O83" s="247" t="s">
        <v>530</v>
      </c>
      <c r="P83" s="247" t="s">
        <v>531</v>
      </c>
      <c r="Q83" s="252">
        <f>(Q81+Q79)*E75</f>
        <v>0</v>
      </c>
      <c r="R83" s="251" t="s">
        <v>441</v>
      </c>
    </row>
    <row r="84" spans="1:18" ht="60" hidden="1">
      <c r="N84" s="248" t="s">
        <v>532</v>
      </c>
      <c r="O84" s="247" t="s">
        <v>533</v>
      </c>
      <c r="P84" s="247" t="s">
        <v>534</v>
      </c>
      <c r="Q84" s="246">
        <f>Q82+Q83</f>
        <v>161473</v>
      </c>
      <c r="R84" s="251" t="s">
        <v>441</v>
      </c>
    </row>
    <row r="85" spans="1:18" ht="75" hidden="1">
      <c r="N85" s="248" t="s">
        <v>535</v>
      </c>
      <c r="O85" s="247" t="s">
        <v>536</v>
      </c>
      <c r="P85" s="247" t="s">
        <v>537</v>
      </c>
      <c r="Q85" s="250">
        <f>1*100/95</f>
        <v>1.0526315789473684</v>
      </c>
      <c r="R85" s="249" t="s">
        <v>513</v>
      </c>
    </row>
    <row r="86" spans="1:18" ht="135" hidden="1">
      <c r="N86" s="248" t="s">
        <v>538</v>
      </c>
      <c r="O86" s="247" t="s">
        <v>539</v>
      </c>
      <c r="P86" s="247" t="s">
        <v>540</v>
      </c>
      <c r="Q86" s="246">
        <f>INT(E61*1000000000*8*E60*(100-E76-Q85)/80/10)</f>
        <v>48973684210</v>
      </c>
      <c r="R86" s="245" t="s">
        <v>541</v>
      </c>
    </row>
    <row r="87" spans="1:18" ht="105" hidden="1">
      <c r="N87" s="244" t="s">
        <v>542</v>
      </c>
      <c r="O87" s="243" t="s">
        <v>543</v>
      </c>
      <c r="P87" s="243" t="s">
        <v>544</v>
      </c>
      <c r="Q87" s="242">
        <f>ROUNDUP(1000000*Q82*4*100/(E64*(100-Q85)),0)</f>
        <v>131</v>
      </c>
      <c r="R87" s="241" t="s">
        <v>64</v>
      </c>
    </row>
    <row r="88" spans="1:18" ht="75.75" hidden="1" thickBot="1">
      <c r="N88" s="240" t="s">
        <v>545</v>
      </c>
      <c r="O88" s="239" t="s">
        <v>546</v>
      </c>
      <c r="P88" s="239" t="s">
        <v>547</v>
      </c>
      <c r="Q88" s="238">
        <f>ROUNDUP(4*Q84*1000000/Q86,0)*10</f>
        <v>140</v>
      </c>
      <c r="R88" s="237" t="s">
        <v>64</v>
      </c>
    </row>
    <row r="89" spans="1:18" hidden="1"/>
    <row r="96" spans="1:18">
      <c r="A96" s="236"/>
    </row>
    <row r="111" spans="8:10">
      <c r="H111" s="234"/>
      <c r="I111" s="382"/>
      <c r="J111" s="382"/>
    </row>
    <row r="112" spans="8:10">
      <c r="H112" s="234"/>
      <c r="I112" s="234"/>
      <c r="J112" s="234"/>
    </row>
    <row r="113" spans="2:10">
      <c r="H113" s="234"/>
      <c r="I113" s="234"/>
      <c r="J113" s="234"/>
    </row>
    <row r="114" spans="2:10">
      <c r="H114" s="234"/>
      <c r="I114" s="234"/>
      <c r="J114" s="234"/>
    </row>
    <row r="115" spans="2:10">
      <c r="H115" s="234"/>
      <c r="I115" s="234"/>
      <c r="J115" s="234"/>
    </row>
    <row r="116" spans="2:10">
      <c r="H116" s="234"/>
      <c r="I116" s="382"/>
      <c r="J116" s="382"/>
    </row>
    <row r="117" spans="2:10">
      <c r="G117" s="235"/>
      <c r="H117" s="234"/>
      <c r="I117" s="234"/>
      <c r="J117" s="234"/>
    </row>
    <row r="118" spans="2:10">
      <c r="B118" s="234"/>
      <c r="C118" s="234"/>
      <c r="D118" s="234"/>
      <c r="E118" s="234"/>
      <c r="G118" s="234"/>
      <c r="H118" s="234"/>
      <c r="I118" s="234"/>
      <c r="J118" s="234"/>
    </row>
    <row r="119" spans="2:10">
      <c r="B119" s="234"/>
      <c r="C119" s="234"/>
      <c r="D119" s="234"/>
      <c r="E119" s="234"/>
      <c r="G119" s="234"/>
      <c r="H119" s="234"/>
      <c r="I119" s="234"/>
      <c r="J119" s="234"/>
    </row>
    <row r="120" spans="2:10">
      <c r="B120" s="234"/>
      <c r="C120" s="234"/>
      <c r="D120" s="234"/>
      <c r="E120" s="234"/>
      <c r="G120" s="234"/>
      <c r="H120" s="234"/>
      <c r="I120" s="234"/>
      <c r="J120" s="234"/>
    </row>
    <row r="121" spans="2:10">
      <c r="B121" s="234"/>
      <c r="C121" s="234"/>
      <c r="D121" s="234"/>
      <c r="E121" s="234"/>
      <c r="F121" s="235"/>
      <c r="G121" s="234"/>
      <c r="H121" s="234"/>
      <c r="I121" s="382"/>
      <c r="J121" s="382"/>
    </row>
    <row r="122" spans="2:10">
      <c r="B122" s="234"/>
      <c r="C122" s="234"/>
      <c r="D122" s="234"/>
      <c r="E122" s="234"/>
      <c r="F122" s="234"/>
      <c r="G122" s="234"/>
      <c r="H122" s="234"/>
      <c r="I122" s="234"/>
      <c r="J122" s="234"/>
    </row>
    <row r="123" spans="2:10">
      <c r="B123" s="234"/>
      <c r="C123" s="234"/>
      <c r="D123" s="234"/>
      <c r="E123" s="234"/>
      <c r="F123" s="234"/>
      <c r="G123" s="234"/>
      <c r="H123" s="234"/>
      <c r="I123" s="234"/>
      <c r="J123" s="234"/>
    </row>
    <row r="124" spans="2:10">
      <c r="B124" s="234"/>
      <c r="C124" s="234"/>
      <c r="D124" s="234"/>
      <c r="E124" s="234"/>
      <c r="F124" s="234"/>
      <c r="G124" s="234"/>
      <c r="H124" s="234"/>
      <c r="I124" s="234"/>
      <c r="J124" s="234"/>
    </row>
    <row r="125" spans="2:10">
      <c r="B125" s="235"/>
      <c r="C125" s="235"/>
      <c r="D125" s="234"/>
      <c r="E125" s="234"/>
      <c r="F125" s="234"/>
      <c r="G125" s="234"/>
      <c r="H125" s="234"/>
      <c r="I125" s="234"/>
      <c r="J125" s="234"/>
    </row>
    <row r="126" spans="2:10">
      <c r="B126" s="234"/>
      <c r="C126" s="235"/>
      <c r="D126" s="234"/>
      <c r="E126" s="234"/>
      <c r="F126" s="234"/>
      <c r="G126" s="234"/>
      <c r="H126" s="234"/>
      <c r="I126" s="234"/>
      <c r="J126" s="234"/>
    </row>
    <row r="127" spans="2:10">
      <c r="B127" s="234"/>
      <c r="C127" s="235"/>
      <c r="D127" s="234"/>
      <c r="E127" s="234"/>
      <c r="F127" s="234"/>
      <c r="G127" s="234"/>
      <c r="H127" s="234"/>
      <c r="I127" s="234"/>
      <c r="J127" s="234"/>
    </row>
    <row r="128" spans="2:10">
      <c r="B128" s="234"/>
      <c r="C128" s="234"/>
      <c r="D128" s="234"/>
      <c r="E128" s="234"/>
      <c r="F128" s="234"/>
      <c r="G128" s="234"/>
      <c r="H128" s="234"/>
      <c r="I128" s="234"/>
      <c r="J128" s="234"/>
    </row>
    <row r="129" spans="2:10">
      <c r="B129" s="234"/>
      <c r="C129" s="234"/>
      <c r="D129" s="234"/>
      <c r="E129" s="234"/>
      <c r="F129" s="234"/>
      <c r="G129" s="234"/>
      <c r="H129" s="234"/>
      <c r="I129" s="234"/>
      <c r="J129" s="234"/>
    </row>
    <row r="130" spans="2:10">
      <c r="B130" s="234"/>
      <c r="C130" s="234"/>
      <c r="D130" s="234"/>
      <c r="E130" s="234"/>
      <c r="F130" s="234"/>
      <c r="G130" s="234"/>
      <c r="H130" s="234"/>
      <c r="I130" s="234"/>
      <c r="J130" s="234"/>
    </row>
    <row r="131" spans="2:10">
      <c r="B131" s="234"/>
      <c r="C131" s="234"/>
      <c r="D131" s="234"/>
      <c r="E131" s="234"/>
      <c r="F131" s="234"/>
      <c r="G131" s="234"/>
      <c r="H131" s="234"/>
      <c r="I131" s="234"/>
      <c r="J131" s="234"/>
    </row>
    <row r="132" spans="2:10">
      <c r="B132" s="234"/>
      <c r="C132" s="234"/>
      <c r="D132" s="234"/>
      <c r="E132" s="234"/>
      <c r="F132" s="234"/>
      <c r="G132" s="234"/>
      <c r="H132" s="234"/>
      <c r="I132" s="234"/>
      <c r="J132" s="234"/>
    </row>
    <row r="133" spans="2:10">
      <c r="B133" s="234"/>
      <c r="C133" s="234"/>
      <c r="D133" s="234"/>
      <c r="E133" s="234"/>
      <c r="F133" s="234"/>
      <c r="G133" s="234"/>
      <c r="H133" s="234"/>
      <c r="I133" s="234"/>
      <c r="J133" s="234"/>
    </row>
    <row r="134" spans="2:10">
      <c r="B134" s="234"/>
      <c r="C134" s="234"/>
      <c r="D134" s="234"/>
      <c r="E134" s="234"/>
      <c r="F134" s="234"/>
      <c r="G134" s="234"/>
      <c r="H134" s="234"/>
      <c r="I134" s="234"/>
      <c r="J134" s="234"/>
    </row>
    <row r="135" spans="2:10">
      <c r="B135" s="234"/>
      <c r="C135" s="234"/>
      <c r="D135" s="234"/>
      <c r="E135" s="234"/>
      <c r="F135" s="234"/>
      <c r="G135" s="234"/>
      <c r="H135" s="234"/>
      <c r="I135" s="234"/>
      <c r="J135" s="234"/>
    </row>
    <row r="136" spans="2:10">
      <c r="B136" s="234"/>
      <c r="C136" s="234"/>
      <c r="D136" s="234"/>
      <c r="E136" s="234"/>
      <c r="F136" s="234"/>
      <c r="G136" s="234"/>
    </row>
    <row r="137" spans="2:10">
      <c r="B137" s="234"/>
      <c r="C137" s="234"/>
      <c r="D137" s="234"/>
      <c r="E137" s="234"/>
      <c r="F137" s="234"/>
      <c r="G137" s="234"/>
    </row>
    <row r="138" spans="2:10">
      <c r="B138" s="234"/>
      <c r="C138" s="234"/>
      <c r="D138" s="234"/>
      <c r="E138" s="234"/>
      <c r="F138" s="234"/>
      <c r="G138" s="234"/>
    </row>
    <row r="139" spans="2:10">
      <c r="B139" s="234"/>
      <c r="C139" s="234"/>
      <c r="D139" s="234"/>
      <c r="E139" s="234"/>
      <c r="F139" s="234"/>
      <c r="G139" s="234"/>
    </row>
    <row r="140" spans="2:10">
      <c r="B140" s="234"/>
      <c r="C140" s="234"/>
      <c r="D140" s="234"/>
      <c r="E140" s="234"/>
      <c r="F140" s="234"/>
      <c r="G140" s="234"/>
    </row>
    <row r="141" spans="2:10">
      <c r="B141" s="234"/>
      <c r="C141" s="234"/>
      <c r="D141" s="234"/>
      <c r="E141" s="234"/>
      <c r="F141" s="234"/>
      <c r="G141" s="234"/>
    </row>
    <row r="142" spans="2:10">
      <c r="B142" s="234"/>
      <c r="C142" s="234"/>
      <c r="D142" s="234"/>
      <c r="E142" s="234"/>
      <c r="F142" s="234"/>
    </row>
    <row r="143" spans="2:10">
      <c r="F143" s="234"/>
    </row>
    <row r="144" spans="2:10">
      <c r="F144" s="234"/>
    </row>
    <row r="145" spans="6:6">
      <c r="F145" s="234"/>
    </row>
  </sheetData>
  <sheetProtection password="DE11" sheet="1" objects="1" selectLockedCells="1"/>
  <mergeCells count="28">
    <mergeCell ref="N40:R40"/>
    <mergeCell ref="T40:AU40"/>
    <mergeCell ref="B41:F41"/>
    <mergeCell ref="H41:L41"/>
    <mergeCell ref="N41:R41"/>
    <mergeCell ref="H40:L40"/>
    <mergeCell ref="B43:F43"/>
    <mergeCell ref="B45:F45"/>
    <mergeCell ref="H46:L46"/>
    <mergeCell ref="B51:F51"/>
    <mergeCell ref="H52:L52"/>
    <mergeCell ref="N63:R63"/>
    <mergeCell ref="B65:F65"/>
    <mergeCell ref="B68:F68"/>
    <mergeCell ref="B71:F71"/>
    <mergeCell ref="N72:R72"/>
    <mergeCell ref="B54:F54"/>
    <mergeCell ref="N55:R55"/>
    <mergeCell ref="H57:L57"/>
    <mergeCell ref="B59:F59"/>
    <mergeCell ref="H60:L60"/>
    <mergeCell ref="I116:J116"/>
    <mergeCell ref="I121:J121"/>
    <mergeCell ref="B74:F74"/>
    <mergeCell ref="B77:F77"/>
    <mergeCell ref="C78:D78"/>
    <mergeCell ref="E78:F78"/>
    <mergeCell ref="I111:J111"/>
  </mergeCells>
  <phoneticPr fontId="12" type="noConversion"/>
  <dataValidations count="39">
    <dataValidation type="list" allowBlank="1" showErrorMessage="1" error="只支持1x 2x 4x垂直Binning/Skipping，且需要同步修改垂直ROI" sqref="E70 E73" xr:uid="{00000000-0002-0000-0600-000000000000}">
      <formula1>"1,2,4"</formula1>
    </dataValidation>
    <dataValidation type="list" allowBlank="1" showErrorMessage="1" error="只支持1x 2x 4x水平Binning/Skipping，且需要同步修改水平ROI" sqref="E69 E72" xr:uid="{00000000-0002-0000-0600-000001000000}">
      <formula1>"1,2,4"</formula1>
    </dataValidation>
    <dataValidation type="custom" allowBlank="1" showInputMessage="1" showErrorMessage="1" errorTitle="带宽限制值设置错误" error="带宽限制值需要以100000000为步长，最小值100000000" sqref="E64" xr:uid="{00000000-0002-0000-0600-000002000000}">
      <formula1>AND(E64&lt;=D64,E64&gt;=100000000,MOD(E64,10000000)=0)</formula1>
    </dataValidation>
    <dataValidation type="list" allowBlank="1" showInputMessage="1" showErrorMessage="1" errorTitle="超出范围" error="0:关闭_x000a_1:打开" sqref="E63 E66" xr:uid="{00000000-0002-0000-0600-000003000000}">
      <formula1>"0,1"</formula1>
    </dataValidation>
    <dataValidation type="whole" allowBlank="1" showInputMessage="1" showErrorMessage="1" errorTitle="流包包长设置错误" error="流包包长范围512-16384bytes" sqref="E62" xr:uid="{00000000-0002-0000-0600-000004000000}">
      <formula1>512</formula1>
      <formula2>16384</formula2>
    </dataValidation>
    <dataValidation type="list" allowBlank="1" showInputMessage="1" showErrorMessage="1" sqref="E61" xr:uid="{00000000-0002-0000-0600-000005000000}">
      <formula1>"1,2,4"</formula1>
    </dataValidation>
    <dataValidation type="list" allowBlank="1" showInputMessage="1" showErrorMessage="1" sqref="E60" xr:uid="{00000000-0002-0000-0600-000006000000}">
      <formula1>"12.5,6.25"</formula1>
    </dataValidation>
    <dataValidation type="whole" allowBlank="1" showInputMessage="1" showErrorMessage="1" errorTitle="输入数值非法" error="最小值4，最大值D12" sqref="E57" xr:uid="{00000000-0002-0000-0600-000007000000}">
      <formula1>32</formula1>
      <formula2>D57</formula2>
    </dataValidation>
    <dataValidation type="whole" allowBlank="1" showInputMessage="1" showErrorMessage="1" errorTitle="超出范围" error="触发延时的范围是0-3000000us" sqref="E53" xr:uid="{00000000-0002-0000-0600-000008000000}">
      <formula1>0</formula1>
      <formula2>3000000</formula2>
    </dataValidation>
    <dataValidation type="list" allowBlank="1" showInputMessage="1" showErrorMessage="1" sqref="E52" xr:uid="{00000000-0002-0000-0600-000009000000}">
      <formula1>"0,1"</formula1>
    </dataValidation>
    <dataValidation type="whole" allowBlank="1" showInputMessage="1" showErrorMessage="1" errorTitle="超出范围" error="触发信号宽度的范围是1-1000000us" sqref="E50" xr:uid="{00000000-0002-0000-0600-00000A000000}">
      <formula1>1</formula1>
      <formula2>1000000</formula2>
    </dataValidation>
    <dataValidation type="whole" allowBlank="1" showInputMessage="1" showErrorMessage="1" sqref="E47" xr:uid="{00000000-0002-0000-0600-00000B000000}">
      <formula1>0</formula1>
      <formula2>D47</formula2>
    </dataValidation>
    <dataValidation type="whole" allowBlank="1" showInputMessage="1" showErrorMessage="1" errorTitle="设置值超出范围" error="包间隔设置值超出范围" sqref="E75" xr:uid="{00000000-0002-0000-0600-00000C000000}">
      <formula1>0</formula1>
      <formula2>K73</formula2>
    </dataValidation>
    <dataValidation type="list" allowBlank="1" showInputMessage="1" showErrorMessage="1" sqref="E46" xr:uid="{00000000-0002-0000-0600-00000D000000}">
      <formula1>"Timed,TriggerWidth"</formula1>
    </dataValidation>
    <dataValidation type="list" allowBlank="1" showInputMessage="1" showErrorMessage="1" sqref="D40" xr:uid="{00000000-0002-0000-0600-00000E000000}">
      <formula1>$T$42:$T$46</formula1>
    </dataValidation>
    <dataValidation type="list" allowBlank="1" showInputMessage="1" showErrorMessage="1" error="请输入参数为1或者2或者4" sqref="B18" xr:uid="{00000000-0002-0000-0600-00000F000000}">
      <formula1>"1,2,4"</formula1>
    </dataValidation>
    <dataValidation type="list" allowBlank="1" showInputMessage="1" showErrorMessage="1" error="请输入参数6.25或者12.5" sqref="B17" xr:uid="{00000000-0002-0000-0600-000010000000}">
      <formula1>"6.25,12.5"</formula1>
    </dataValidation>
    <dataValidation type="list" allowBlank="1" showInputMessage="1" showErrorMessage="1" error="请输入0或者1" sqref="B19" xr:uid="{00000000-0002-0000-0600-000011000000}">
      <formula1>"0,1"</formula1>
    </dataValidation>
    <dataValidation type="list" allowBlank="1" showInputMessage="1" showErrorMessage="1" errorTitle="超出范围" error="请输入0或者1" sqref="B16" xr:uid="{00000000-0002-0000-0600-000012000000}">
      <formula1>"0,1"</formula1>
    </dataValidation>
    <dataValidation type="custom" allowBlank="1" showInputMessage="1" showErrorMessage="1" error="设置值范围0.1~10000.0，精确到一位小数" sqref="B15" xr:uid="{00000000-0002-0000-0600-000013000000}">
      <formula1>AND(TRUNC(B15,1)=B15,(B15&gt;=0.1),(B15&lt;=10000))</formula1>
    </dataValidation>
    <dataValidation type="list" allowBlank="1" showInputMessage="1" showErrorMessage="1" error="输入参数值为1或者2或者4" sqref="B8:B9" xr:uid="{00000000-0002-0000-0600-000014000000}">
      <formula1>"1,2,4"</formula1>
    </dataValidation>
    <dataValidation type="list" allowBlank="1" showInputMessage="1" showErrorMessage="1" error="请输入参数0或者1" sqref="B14" xr:uid="{00000000-0002-0000-0600-000015000000}">
      <formula1>"0,1"</formula1>
    </dataValidation>
    <dataValidation type="whole" allowBlank="1" showInputMessage="1" showErrorMessage="1" errorTitle="超出范围" error="曝光延迟的范围是0-5000us" sqref="E49" xr:uid="{00000000-0002-0000-0600-000016000000}">
      <formula1>0</formula1>
      <formula2>5000</formula2>
    </dataValidation>
    <dataValidation type="custom" allowBlank="1" showInputMessage="1" showErrorMessage="1" error="输入范围是512~8192，步长为4" sqref="B13" xr:uid="{00000000-0002-0000-0600-000017000000}">
      <formula1>AND((B13&lt;=8192),(B13&gt;=512),(MOD(B13,4)=0))</formula1>
    </dataValidation>
    <dataValidation type="custom" allowBlank="1" showInputMessage="1" showErrorMessage="1" error="输入范围是[100000000,5000000000]，步长10000000，单位Bps" sqref="B20" xr:uid="{00000000-0002-0000-0600-000018000000}">
      <formula1>AND(B20&lt;=D64,B20&gt;=100000000,MOD(B20,10000000)=0)</formula1>
    </dataValidation>
    <dataValidation type="list" allowBlank="1" showInputMessage="1" showErrorMessage="1" sqref="B12" xr:uid="{00000000-0002-0000-0600-000019000000}">
      <formula1>"8,10"</formula1>
    </dataValidation>
    <dataValidation type="whole" allowBlank="1" showInputMessage="1" showErrorMessage="1" errorTitle="输入数值非法" error="最小值2，最大值D13" sqref="E58" xr:uid="{00000000-0002-0000-0600-00001A000000}">
      <formula1>2</formula1>
      <formula2>D58</formula2>
    </dataValidation>
    <dataValidation type="whole" allowBlank="1" showInputMessage="1" showErrorMessage="1" errorTitle="超出范围" error="曝光时间的范围是9us-1s" sqref="B10" xr:uid="{00000000-0002-0000-0600-00001B000000}">
      <formula1>9</formula1>
      <formula2>1000000</formula2>
    </dataValidation>
    <dataValidation type="decimal" allowBlank="1" showInputMessage="1" showErrorMessage="1" sqref="E67" xr:uid="{00000000-0002-0000-0600-00001C000000}">
      <formula1>0.1</formula1>
      <formula2>10000</formula2>
    </dataValidation>
    <dataValidation type="custom" allowBlank="1" showInputMessage="1" showErrorMessage="1" errorTitle="输入数值非法" error="输入范围是2~图像高度最大值，步长为2" sqref="B5" xr:uid="{00000000-0002-0000-0600-00001D000000}">
      <formula1>AND((B5&lt;=B3),(B5&gt;=2),(MOD(B5,2)=0))</formula1>
    </dataValidation>
    <dataValidation type="list" allowBlank="1" showInputMessage="1" showErrorMessage="1" errorTitle="输入数值非法" error="输入参数值为1或者2或者4" sqref="B6:B7" xr:uid="{00000000-0002-0000-0600-00001E000000}">
      <formula1>"1,2,4"</formula1>
    </dataValidation>
    <dataValidation type="custom" allowBlank="1" showInputMessage="1" showErrorMessage="1" errorTitle="输入数值非法" error="输入范围是32~图像宽度最大值，步长为32" sqref="B4" xr:uid="{00000000-0002-0000-0600-00001F000000}">
      <formula1>AND((B4&lt;=B2),(B4&gt;=32),(MOD(B4,32)=0))</formula1>
    </dataValidation>
    <dataValidation type="whole" allowBlank="1" showInputMessage="1" showErrorMessage="1" error="输入范围是[0,5000]，单位为us" sqref="B11" xr:uid="{00000000-0002-0000-0600-000020000000}">
      <formula1>0</formula1>
      <formula2>5000</formula2>
    </dataValidation>
    <dataValidation allowBlank="1" showErrorMessage="1" promptTitle="参数变化" prompt="该参数会根据当前生效的垂直像素Binning、垂直像素抽样变化" sqref="B3" xr:uid="{00000000-0002-0000-0600-000021000000}"/>
    <dataValidation allowBlank="1" showInputMessage="1" showErrorMessage="1" error="输入范围是64~1024，步长为2" sqref="A1:B1" xr:uid="{00000000-0002-0000-0600-000022000000}"/>
    <dataValidation type="list" allowBlank="1" showInputMessage="1" showErrorMessage="1" sqref="E44" xr:uid="{00000000-0002-0000-0600-000023000000}">
      <formula1>"8,10,12"</formula1>
    </dataValidation>
    <dataValidation type="whole" allowBlank="1" showInputMessage="1" showErrorMessage="1" errorTitle="超出范围" error="曝光时间的范围是14us-1s" sqref="E48" xr:uid="{00000000-0002-0000-0600-000024000000}">
      <formula1>14</formula1>
      <formula2>10000000</formula2>
    </dataValidation>
    <dataValidation type="whole" allowBlank="1" showInputMessage="1" showErrorMessage="1" errorTitle="设置值超出范围" error="预留带宽设置值超出范围" sqref="E76" xr:uid="{00000000-0002-0000-0600-000025000000}">
      <formula1>D76</formula1>
      <formula2>99</formula2>
    </dataValidation>
    <dataValidation allowBlank="1" showErrorMessage="1" promptTitle="参数变化" prompt="该参数会根据当前生效的水平像素Binning、水平像素抽样变化" sqref="B2" xr:uid="{00000000-0002-0000-0600-000026000000}"/>
  </dataValidations>
  <pageMargins left="0.7" right="0.7" top="0.75" bottom="0.75" header="0.3" footer="0.3"/>
  <pageSetup paperSize="9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7"/>
  <sheetViews>
    <sheetView zoomScale="85" zoomScaleNormal="85" workbookViewId="0">
      <selection activeCell="E13" sqref="E13"/>
    </sheetView>
  </sheetViews>
  <sheetFormatPr defaultColWidth="9" defaultRowHeight="15"/>
  <cols>
    <col min="1" max="1" width="29.28515625" customWidth="1"/>
    <col min="2" max="2" width="4.42578125" style="1" customWidth="1"/>
    <col min="3" max="3" width="22.5703125" customWidth="1"/>
  </cols>
  <sheetData>
    <row r="1" spans="1:3">
      <c r="A1" s="2" t="s">
        <v>562</v>
      </c>
      <c r="B1" s="3" t="s">
        <v>563</v>
      </c>
      <c r="C1" s="2" t="s">
        <v>564</v>
      </c>
    </row>
    <row r="2" spans="1:3">
      <c r="A2" s="2">
        <v>214</v>
      </c>
      <c r="B2" s="3" t="s">
        <v>565</v>
      </c>
      <c r="C2" s="2" t="s">
        <v>566</v>
      </c>
    </row>
    <row r="3" spans="1:3">
      <c r="A3" s="2">
        <v>213</v>
      </c>
      <c r="B3" s="3" t="s">
        <v>567</v>
      </c>
      <c r="C3" s="2" t="s">
        <v>568</v>
      </c>
    </row>
    <row r="4" spans="1:3">
      <c r="A4" s="404">
        <v>212</v>
      </c>
      <c r="B4" s="3">
        <v>7</v>
      </c>
      <c r="C4" s="2" t="s">
        <v>569</v>
      </c>
    </row>
    <row r="5" spans="1:3">
      <c r="A5" s="404"/>
      <c r="B5" s="3" t="s">
        <v>570</v>
      </c>
      <c r="C5" s="2" t="s">
        <v>571</v>
      </c>
    </row>
    <row r="6" spans="1:3">
      <c r="A6" s="2">
        <v>211</v>
      </c>
      <c r="B6" s="3" t="s">
        <v>572</v>
      </c>
      <c r="C6" s="2" t="s">
        <v>573</v>
      </c>
    </row>
    <row r="7" spans="1:3">
      <c r="A7" t="s">
        <v>574</v>
      </c>
    </row>
  </sheetData>
  <mergeCells count="1">
    <mergeCell ref="A4:A5"/>
  </mergeCells>
  <phoneticPr fontId="12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8B1D4FD92196841803EE860CCD88BE3" ma:contentTypeVersion="19" ma:contentTypeDescription="Een nieuw document maken." ma:contentTypeScope="" ma:versionID="75a706d53b55620917e8878502d0d9c2">
  <xsd:schema xmlns:xsd="http://www.w3.org/2001/XMLSchema" xmlns:xs="http://www.w3.org/2001/XMLSchema" xmlns:p="http://schemas.microsoft.com/office/2006/metadata/properties" xmlns:ns2="8e9a8bac-6399-41e0-ae29-be0bac219712" xmlns:ns3="0e2bac63-7935-4451-9bf4-ebd134ce4d3a" targetNamespace="http://schemas.microsoft.com/office/2006/metadata/properties" ma:root="true" ma:fieldsID="545458d10412f9b1e4de10bc7f79c116" ns2:_="" ns3:_="">
    <xsd:import namespace="8e9a8bac-6399-41e0-ae29-be0bac219712"/>
    <xsd:import namespace="0e2bac63-7935-4451-9bf4-ebd134ce4d3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TaxCatchAll" minOccurs="0"/>
                <xsd:element ref="ns2:lcf76f155ced4ddcb4097134ff3c332f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9a8bac-6399-41e0-ae29-be0bac21971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Afbeeldingtags" ma:readOnly="false" ma:fieldId="{5cf76f15-5ced-4ddc-b409-7134ff3c332f}" ma:taxonomyMulti="true" ma:sspId="858a10be-0e10-4ce7-b105-4832767749d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2bac63-7935-4451-9bf4-ebd134ce4d3a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2de76510-9397-41dc-9934-fa59ec3e18be}" ma:internalName="TaxCatchAll" ma:showField="CatchAllData" ma:web="0e2bac63-7935-4451-9bf4-ebd134ce4d3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e2bac63-7935-4451-9bf4-ebd134ce4d3a" xsi:nil="true"/>
    <lcf76f155ced4ddcb4097134ff3c332f xmlns="8e9a8bac-6399-41e0-ae29-be0bac21971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4AAF954-35BD-4FFA-AEAE-50B00172548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804D5CC-8C3B-496D-9CEE-7FA8A2791923}"/>
</file>

<file path=customXml/itemProps3.xml><?xml version="1.0" encoding="utf-8"?>
<ds:datastoreItem xmlns:ds="http://schemas.openxmlformats.org/officeDocument/2006/customXml" ds:itemID="{A6D10308-419F-4AE4-B0EA-11FBB6078C98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8</vt:i4>
      </vt:variant>
    </vt:vector>
  </HeadingPairs>
  <TitlesOfParts>
    <vt:vector size="8" baseType="lpstr">
      <vt:lpstr>帧率计算表-slave (基础)</vt:lpstr>
      <vt:lpstr>Revision History</vt:lpstr>
      <vt:lpstr>MARS-15200-16X2</vt:lpstr>
      <vt:lpstr>MARS-10300-24X2</vt:lpstr>
      <vt:lpstr>MARS-6502-71X2、MARS-6503-71X2</vt:lpstr>
      <vt:lpstr>MARS-6500-31X2、MARS-6501-31X2</vt:lpstr>
      <vt:lpstr>MARS-2625-150X2、MARS-2626-150X2</vt:lpstr>
      <vt:lpstr>黑电平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Rico van Leeuwen</cp:lastModifiedBy>
  <dcterms:created xsi:type="dcterms:W3CDTF">2006-09-16T00:00:00Z</dcterms:created>
  <dcterms:modified xsi:type="dcterms:W3CDTF">2024-10-23T12:33:19Z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68A1ACE456D940A5827FB3CFD0792677</vt:lpwstr>
  </property>
  <property fmtid="{D5CDD505-2E9C-101B-9397-08002B2CF9AE}" pid="3" name="KSOProductBuildVer">
    <vt:lpwstr>2052-11.1.0.12598</vt:lpwstr>
  </property>
  <property fmtid="{D5CDD505-2E9C-101B-9397-08002B2CF9AE}" pid="4" name="ContentTypeId">
    <vt:lpwstr>0x01010018B1D4FD92196841803EE860CCD88BE3</vt:lpwstr>
  </property>
</Properties>
</file>