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5.xml" ContentType="application/vnd.openxmlformats-officedocument.drawing+xml"/>
  <Override PartName="/xl/drawings/drawing1.xml" ContentType="application/vnd.openxmlformats-officedocument.drawing+xml"/>
  <Override PartName="/xl/drawings/drawing4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用户光盘\新建文件夹\user_manual\pdf\帧率计算工具\"/>
    </mc:Choice>
  </mc:AlternateContent>
  <workbookProtection workbookPassword="DE11" lockStructure="1"/>
  <bookViews>
    <workbookView xWindow="-120" yWindow="-120" windowWidth="38640" windowHeight="21240" tabRatio="790"/>
  </bookViews>
  <sheets>
    <sheet name="Revision History" sheetId="15" r:id="rId1"/>
    <sheet name="MARS-1230-9GX-P" sheetId="25" r:id="rId2"/>
    <sheet name="MARS-880-13GX-P" sheetId="26" r:id="rId3"/>
    <sheet name="MARS-3140-3GX-P" sheetId="28" r:id="rId4"/>
    <sheet name="MARS-2622-4GX-P-NIR-ETR" sheetId="30" r:id="rId5"/>
    <sheet name="MARS-138-95GM-P-TN-SWIR" sheetId="31" r:id="rId6"/>
    <sheet name="MARS-033-262GM-P-TN-SWIR" sheetId="32" r:id="rId7"/>
  </sheets>
  <definedNames>
    <definedName name="_xlnm._FilterDatabase" localSheetId="4" hidden="1">'MARS-2622-4GX-P-NIR-ETR'!$C$38:$G$71</definedName>
    <definedName name="Z_9F73C155_CDDB_4969_BDA6_6B1932D3C988_.wvu.Rows" localSheetId="3" hidden="1">'MARS-3140-3GX-P'!$25:$42</definedName>
  </definedNames>
  <calcPr calcId="152511"/>
  <customWorkbookViews>
    <customWorkbookView name="administrator - 个人视图" guid="{9F73C155-CDDB-4969-BDA6-6B1932D3C988}" personalView="1" maximized="1" windowWidth="1440" windowHeight="631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2" l="1"/>
  <c r="C13" i="31"/>
  <c r="V76" i="32"/>
  <c r="U75" i="32"/>
  <c r="V74" i="32"/>
  <c r="U68" i="32"/>
  <c r="I68" i="32"/>
  <c r="AI29" i="32" s="1"/>
  <c r="I67" i="32"/>
  <c r="AH29" i="32" s="1"/>
  <c r="AB66" i="32"/>
  <c r="I65" i="32"/>
  <c r="Z64" i="32"/>
  <c r="I64" i="32"/>
  <c r="Z63" i="32"/>
  <c r="Z62" i="32"/>
  <c r="U62" i="32"/>
  <c r="U66" i="32" s="1"/>
  <c r="I62" i="32"/>
  <c r="H62" i="32"/>
  <c r="Z61" i="32"/>
  <c r="I61" i="32"/>
  <c r="AB60" i="32"/>
  <c r="Z60" i="32"/>
  <c r="Z59" i="32"/>
  <c r="U59" i="32"/>
  <c r="I59" i="32"/>
  <c r="Z58" i="32"/>
  <c r="I58" i="32"/>
  <c r="AB63" i="32" s="1"/>
  <c r="Z57" i="32"/>
  <c r="I57" i="32"/>
  <c r="AB62" i="32" s="1"/>
  <c r="Z56" i="32"/>
  <c r="U56" i="32"/>
  <c r="O56" i="32"/>
  <c r="I56" i="32"/>
  <c r="U73" i="32" s="1"/>
  <c r="Z55" i="32"/>
  <c r="U55" i="32"/>
  <c r="U69" i="32" s="1"/>
  <c r="O55" i="32"/>
  <c r="U54" i="32"/>
  <c r="AB53" i="32"/>
  <c r="Z52" i="32"/>
  <c r="Z51" i="32"/>
  <c r="Z50" i="32"/>
  <c r="I50" i="32"/>
  <c r="I49" i="32"/>
  <c r="O47" i="32"/>
  <c r="P43" i="32"/>
  <c r="O43" i="32"/>
  <c r="U42" i="32"/>
  <c r="U41" i="32"/>
  <c r="U39" i="32"/>
  <c r="I39" i="32"/>
  <c r="U38" i="32"/>
  <c r="I38" i="32"/>
  <c r="H38" i="32"/>
  <c r="U37" i="32"/>
  <c r="P37" i="32"/>
  <c r="I37" i="32"/>
  <c r="P40" i="32" s="1"/>
  <c r="U36" i="32"/>
  <c r="U35" i="32"/>
  <c r="O34" i="32" s="1"/>
  <c r="AB61" i="32" s="1"/>
  <c r="P34" i="32"/>
  <c r="I34" i="32"/>
  <c r="I32" i="32"/>
  <c r="AJ29" i="32" s="1"/>
  <c r="I31" i="32"/>
  <c r="F31" i="32"/>
  <c r="AJ30" i="32"/>
  <c r="AE30" i="32"/>
  <c r="U32" i="32" s="1"/>
  <c r="AD30" i="32"/>
  <c r="U31" i="32" s="1"/>
  <c r="AA30" i="32"/>
  <c r="U30" i="32" s="1"/>
  <c r="AE29" i="32"/>
  <c r="AA29" i="32"/>
  <c r="C9" i="32"/>
  <c r="C8" i="32"/>
  <c r="C7" i="32"/>
  <c r="C6" i="32"/>
  <c r="V76" i="31"/>
  <c r="V74" i="31"/>
  <c r="U73" i="31"/>
  <c r="I68" i="31"/>
  <c r="I67" i="31"/>
  <c r="AB66" i="31"/>
  <c r="I65" i="31"/>
  <c r="Z64" i="31"/>
  <c r="I64" i="31"/>
  <c r="AB63" i="31"/>
  <c r="Z63" i="31"/>
  <c r="Z62" i="31"/>
  <c r="I62" i="31"/>
  <c r="H62" i="31"/>
  <c r="Z61" i="31"/>
  <c r="I61" i="31"/>
  <c r="AB60" i="31"/>
  <c r="Z60" i="31"/>
  <c r="AB59" i="31"/>
  <c r="Z59" i="31"/>
  <c r="U59" i="31"/>
  <c r="I59" i="31"/>
  <c r="Z58" i="31"/>
  <c r="I58" i="31"/>
  <c r="Z57" i="31"/>
  <c r="I57" i="31"/>
  <c r="AB62" i="31" s="1"/>
  <c r="Z56" i="31"/>
  <c r="O56" i="31"/>
  <c r="I56" i="31"/>
  <c r="O47" i="31" s="1"/>
  <c r="Z55" i="31"/>
  <c r="U55" i="31"/>
  <c r="U68" i="31" s="1"/>
  <c r="O55" i="31"/>
  <c r="U54" i="31"/>
  <c r="U69" i="31" s="1"/>
  <c r="AB53" i="31"/>
  <c r="Z52" i="31"/>
  <c r="Z51" i="31"/>
  <c r="Z50" i="31"/>
  <c r="I50" i="31"/>
  <c r="U62" i="31" s="1"/>
  <c r="H50" i="31"/>
  <c r="B3" i="31" s="1"/>
  <c r="C5" i="31" s="1"/>
  <c r="I49" i="31"/>
  <c r="U42" i="31"/>
  <c r="U41" i="31"/>
  <c r="P40" i="31"/>
  <c r="U39" i="31"/>
  <c r="P39" i="31"/>
  <c r="I39" i="31"/>
  <c r="U38" i="31"/>
  <c r="I38" i="31"/>
  <c r="H38" i="31"/>
  <c r="U37" i="31"/>
  <c r="I37" i="31"/>
  <c r="P43" i="31" s="1"/>
  <c r="U36" i="31"/>
  <c r="P36" i="31"/>
  <c r="U35" i="31"/>
  <c r="P35" i="31"/>
  <c r="P34" i="31"/>
  <c r="I34" i="31"/>
  <c r="I32" i="31"/>
  <c r="AJ29" i="31" s="1"/>
  <c r="I31" i="31"/>
  <c r="F31" i="31"/>
  <c r="U30" i="31"/>
  <c r="AI29" i="31"/>
  <c r="AH29" i="31"/>
  <c r="U40" i="31" s="1"/>
  <c r="AB65" i="31" s="1"/>
  <c r="AF29" i="31"/>
  <c r="H49" i="31" s="1"/>
  <c r="B2" i="31" s="1"/>
  <c r="AE29" i="31"/>
  <c r="U32" i="31" s="1"/>
  <c r="AD29" i="31"/>
  <c r="U31" i="31" s="1"/>
  <c r="AA29" i="31"/>
  <c r="C9" i="31"/>
  <c r="C8" i="31"/>
  <c r="C7" i="31"/>
  <c r="C6" i="31"/>
  <c r="R67" i="30"/>
  <c r="R71" i="30" s="1"/>
  <c r="R65" i="30"/>
  <c r="Y63" i="30"/>
  <c r="F62" i="30"/>
  <c r="L47" i="30" s="1"/>
  <c r="E62" i="30"/>
  <c r="R61" i="30"/>
  <c r="R74" i="30" s="1"/>
  <c r="F61" i="30"/>
  <c r="R60" i="30"/>
  <c r="R62" i="30" s="1"/>
  <c r="F59" i="30"/>
  <c r="F58" i="30"/>
  <c r="F57" i="30"/>
  <c r="F56" i="30"/>
  <c r="R78" i="30" s="1"/>
  <c r="F52" i="30"/>
  <c r="E52" i="30"/>
  <c r="L51" i="30"/>
  <c r="Y58" i="30" s="1"/>
  <c r="F51" i="30"/>
  <c r="E51" i="30"/>
  <c r="R48" i="30"/>
  <c r="R47" i="30"/>
  <c r="R46" i="30"/>
  <c r="R45" i="30"/>
  <c r="F45" i="30"/>
  <c r="R44" i="30"/>
  <c r="F44" i="30"/>
  <c r="L50" i="30" s="1"/>
  <c r="E44" i="30"/>
  <c r="F42" i="30"/>
  <c r="AH40" i="30" s="1"/>
  <c r="R41" i="30"/>
  <c r="C3" i="30"/>
  <c r="D5" i="30" s="1"/>
  <c r="C2" i="30"/>
  <c r="I30" i="30" s="1"/>
  <c r="D21" i="30" s="1"/>
  <c r="C54" i="28"/>
  <c r="C56" i="28" s="1"/>
  <c r="C52" i="28" s="1"/>
  <c r="C51" i="28"/>
  <c r="C55" i="28" s="1"/>
  <c r="C57" i="28" s="1"/>
  <c r="C53" i="28" s="1"/>
  <c r="C25" i="28" s="1"/>
  <c r="C50" i="28"/>
  <c r="C49" i="28"/>
  <c r="C3" i="28" s="1"/>
  <c r="D5" i="28" s="1"/>
  <c r="C48" i="28"/>
  <c r="C2" i="28" s="1"/>
  <c r="C40" i="28"/>
  <c r="C37" i="28"/>
  <c r="C34" i="28"/>
  <c r="C33" i="28"/>
  <c r="C30" i="28"/>
  <c r="C28" i="28"/>
  <c r="C27" i="28"/>
  <c r="C26" i="28"/>
  <c r="C24" i="28"/>
  <c r="C23" i="28"/>
  <c r="O69" i="26"/>
  <c r="O64" i="26"/>
  <c r="O58" i="26"/>
  <c r="O62" i="26" s="1"/>
  <c r="O56" i="26"/>
  <c r="O52" i="26"/>
  <c r="O65" i="26" s="1"/>
  <c r="O51" i="26"/>
  <c r="O53" i="26" s="1"/>
  <c r="C51" i="26"/>
  <c r="I40" i="26"/>
  <c r="O38" i="26"/>
  <c r="O37" i="26"/>
  <c r="O39" i="26" s="1"/>
  <c r="O40" i="26" s="1"/>
  <c r="I37" i="26"/>
  <c r="I35" i="26"/>
  <c r="C34" i="26"/>
  <c r="O33" i="26"/>
  <c r="C33" i="26"/>
  <c r="U32" i="26"/>
  <c r="O31" i="26"/>
  <c r="O30" i="26"/>
  <c r="W29" i="26"/>
  <c r="U29" i="26"/>
  <c r="U28" i="26"/>
  <c r="O28" i="26"/>
  <c r="W28" i="26" s="1"/>
  <c r="O27" i="26"/>
  <c r="W23" i="26" s="1"/>
  <c r="U26" i="26"/>
  <c r="W25" i="26"/>
  <c r="W24" i="26" s="1"/>
  <c r="U25" i="26"/>
  <c r="C25" i="26"/>
  <c r="U24" i="26"/>
  <c r="O24" i="26"/>
  <c r="U23" i="26"/>
  <c r="O23" i="26"/>
  <c r="U31" i="26" s="1"/>
  <c r="U22" i="26"/>
  <c r="I22" i="26"/>
  <c r="I30" i="26" s="1"/>
  <c r="U21" i="26"/>
  <c r="O69" i="25"/>
  <c r="O65" i="25"/>
  <c r="O62" i="25"/>
  <c r="O58" i="25"/>
  <c r="O59" i="25" s="1"/>
  <c r="O56" i="25"/>
  <c r="O64" i="25" s="1"/>
  <c r="O52" i="25"/>
  <c r="O51" i="25"/>
  <c r="O53" i="25" s="1"/>
  <c r="I40" i="25"/>
  <c r="O38" i="25"/>
  <c r="O39" i="25" s="1"/>
  <c r="O37" i="25"/>
  <c r="I37" i="25"/>
  <c r="I35" i="25"/>
  <c r="U32" i="25"/>
  <c r="O30" i="25"/>
  <c r="W29" i="25"/>
  <c r="O28" i="25"/>
  <c r="I22" i="25" s="1"/>
  <c r="U26" i="25"/>
  <c r="W25" i="25"/>
  <c r="U25" i="25"/>
  <c r="C25" i="25"/>
  <c r="W24" i="25"/>
  <c r="U24" i="25"/>
  <c r="O24" i="25"/>
  <c r="W28" i="25" s="1"/>
  <c r="U23" i="25"/>
  <c r="O23" i="25"/>
  <c r="U29" i="25" s="1"/>
  <c r="U22" i="25"/>
  <c r="U21" i="25"/>
  <c r="U33" i="32" l="1"/>
  <c r="O30" i="32" s="1"/>
  <c r="O39" i="32" s="1"/>
  <c r="H36" i="31"/>
  <c r="U33" i="31"/>
  <c r="U34" i="31" s="1"/>
  <c r="AB50" i="31" s="1"/>
  <c r="O34" i="31"/>
  <c r="AB61" i="31" s="1"/>
  <c r="R42" i="30"/>
  <c r="L41" i="30" s="1"/>
  <c r="C4" i="31"/>
  <c r="G22" i="31"/>
  <c r="C25" i="31" s="1"/>
  <c r="U63" i="31"/>
  <c r="U66" i="31"/>
  <c r="H36" i="32"/>
  <c r="Y59" i="30"/>
  <c r="I30" i="25"/>
  <c r="I33" i="25"/>
  <c r="O60" i="25"/>
  <c r="O67" i="25" s="1"/>
  <c r="J74" i="28"/>
  <c r="D61" i="28" s="1"/>
  <c r="D4" i="28"/>
  <c r="R68" i="30"/>
  <c r="U56" i="31"/>
  <c r="U75" i="31"/>
  <c r="AI30" i="32"/>
  <c r="H50" i="32" s="1"/>
  <c r="B3" i="32" s="1"/>
  <c r="C5" i="32" s="1"/>
  <c r="U31" i="25"/>
  <c r="O29" i="26"/>
  <c r="U63" i="32"/>
  <c r="C31" i="28"/>
  <c r="C32" i="28" s="1"/>
  <c r="C35" i="28" s="1"/>
  <c r="D4" i="30"/>
  <c r="AF30" i="32"/>
  <c r="H49" i="32" s="1"/>
  <c r="B2" i="32" s="1"/>
  <c r="W22" i="26"/>
  <c r="O31" i="25"/>
  <c r="P35" i="32"/>
  <c r="O59" i="26"/>
  <c r="I33" i="26"/>
  <c r="C33" i="25"/>
  <c r="C51" i="25"/>
  <c r="AF29" i="32"/>
  <c r="AD29" i="32"/>
  <c r="I39" i="25"/>
  <c r="I27" i="25" s="1"/>
  <c r="AH30" i="32"/>
  <c r="U40" i="32" s="1"/>
  <c r="AB65" i="32" s="1"/>
  <c r="R73" i="30"/>
  <c r="O43" i="31"/>
  <c r="P39" i="32"/>
  <c r="U28" i="25"/>
  <c r="O33" i="25"/>
  <c r="O40" i="25" s="1"/>
  <c r="U30" i="26"/>
  <c r="I39" i="26"/>
  <c r="I27" i="26" s="1"/>
  <c r="C38" i="28"/>
  <c r="C15" i="28" s="1"/>
  <c r="L57" i="30"/>
  <c r="P37" i="31"/>
  <c r="AB59" i="32"/>
  <c r="U30" i="25"/>
  <c r="O27" i="25"/>
  <c r="C34" i="25"/>
  <c r="P36" i="32"/>
  <c r="O29" i="25"/>
  <c r="K37" i="32"/>
  <c r="U34" i="32" l="1"/>
  <c r="K34" i="32" s="1"/>
  <c r="F36" i="32"/>
  <c r="O36" i="32"/>
  <c r="O30" i="31"/>
  <c r="O36" i="31" s="1"/>
  <c r="C43" i="28"/>
  <c r="D35" i="28"/>
  <c r="Y65" i="30"/>
  <c r="AG40" i="30"/>
  <c r="R43" i="30" s="1"/>
  <c r="L45" i="30" s="1"/>
  <c r="I36" i="26"/>
  <c r="O71" i="25"/>
  <c r="C39" i="28"/>
  <c r="C41" i="28" s="1"/>
  <c r="C20" i="28" s="1"/>
  <c r="R70" i="30"/>
  <c r="R72" i="30" s="1"/>
  <c r="R69" i="30"/>
  <c r="O61" i="25"/>
  <c r="O63" i="25" s="1"/>
  <c r="I28" i="25"/>
  <c r="W31" i="25" s="1"/>
  <c r="W30" i="25"/>
  <c r="K31" i="32"/>
  <c r="AB52" i="32"/>
  <c r="C4" i="32"/>
  <c r="G22" i="32"/>
  <c r="C25" i="32" s="1"/>
  <c r="I36" i="25"/>
  <c r="U64" i="31"/>
  <c r="U65" i="31" s="1"/>
  <c r="U67" i="31" s="1"/>
  <c r="U65" i="32"/>
  <c r="U67" i="32" s="1"/>
  <c r="U64" i="32"/>
  <c r="W23" i="25"/>
  <c r="W22" i="25" s="1"/>
  <c r="O40" i="32"/>
  <c r="K30" i="32"/>
  <c r="AB64" i="32"/>
  <c r="O42" i="32"/>
  <c r="O54" i="32"/>
  <c r="AB54" i="32" s="1"/>
  <c r="K35" i="32"/>
  <c r="C42" i="28"/>
  <c r="O66" i="25"/>
  <c r="O68" i="25" s="1"/>
  <c r="O70" i="25" s="1"/>
  <c r="O72" i="25" s="1"/>
  <c r="I31" i="25" s="1"/>
  <c r="I23" i="25" s="1"/>
  <c r="O60" i="26"/>
  <c r="O61" i="26" s="1"/>
  <c r="O63" i="26" s="1"/>
  <c r="O71" i="26"/>
  <c r="W30" i="26"/>
  <c r="I28" i="26"/>
  <c r="O40" i="31" l="1"/>
  <c r="AB51" i="31" s="1"/>
  <c r="O54" i="31"/>
  <c r="AB54" i="31" s="1"/>
  <c r="AB64" i="31"/>
  <c r="O39" i="31"/>
  <c r="AB52" i="31" s="1"/>
  <c r="AB50" i="32"/>
  <c r="F36" i="31"/>
  <c r="O42" i="31"/>
  <c r="Y62" i="30"/>
  <c r="B17" i="25"/>
  <c r="B14" i="25"/>
  <c r="AB51" i="32"/>
  <c r="O35" i="32"/>
  <c r="I41" i="25"/>
  <c r="B13" i="25" s="1"/>
  <c r="B47" i="25" s="1"/>
  <c r="R75" i="30"/>
  <c r="R76" i="30"/>
  <c r="B8" i="25"/>
  <c r="B45" i="25" s="1"/>
  <c r="U70" i="32"/>
  <c r="U71" i="32"/>
  <c r="U70" i="31"/>
  <c r="U71" i="31"/>
  <c r="L46" i="30"/>
  <c r="O66" i="26"/>
  <c r="I41" i="26"/>
  <c r="B13" i="26" s="1"/>
  <c r="B47" i="26" s="1"/>
  <c r="B8" i="26"/>
  <c r="B45" i="26" s="1"/>
  <c r="O67" i="26"/>
  <c r="C44" i="28"/>
  <c r="C45" i="28" s="1"/>
  <c r="C46" i="28" s="1"/>
  <c r="C36" i="28"/>
  <c r="C61" i="28" s="1"/>
  <c r="O35" i="31" l="1"/>
  <c r="L59" i="30"/>
  <c r="R77" i="30"/>
  <c r="O50" i="32"/>
  <c r="U72" i="32"/>
  <c r="K40" i="32"/>
  <c r="AB57" i="32"/>
  <c r="O68" i="26"/>
  <c r="O70" i="26" s="1"/>
  <c r="O72" i="26" s="1"/>
  <c r="I31" i="26" s="1"/>
  <c r="AB57" i="31"/>
  <c r="Y61" i="30"/>
  <c r="U72" i="31"/>
  <c r="O50" i="31"/>
  <c r="F58" i="31" l="1"/>
  <c r="B16" i="31"/>
  <c r="O52" i="32"/>
  <c r="U74" i="32"/>
  <c r="O37" i="32" s="1"/>
  <c r="U76" i="32"/>
  <c r="U74" i="31"/>
  <c r="O37" i="31" s="1"/>
  <c r="O52" i="31"/>
  <c r="U76" i="31"/>
  <c r="AB56" i="31" s="1"/>
  <c r="B16" i="32"/>
  <c r="F58" i="32"/>
  <c r="R79" i="30"/>
  <c r="L48" i="30" s="1"/>
  <c r="L61" i="30"/>
  <c r="W31" i="26"/>
  <c r="I23" i="26"/>
  <c r="C58" i="30"/>
  <c r="C13" i="30"/>
  <c r="C59" i="30" l="1"/>
  <c r="C18" i="30"/>
  <c r="K39" i="32"/>
  <c r="AB56" i="32"/>
  <c r="K38" i="32"/>
  <c r="O31" i="32"/>
  <c r="O32" i="32" s="1"/>
  <c r="AB55" i="32"/>
  <c r="Y60" i="30"/>
  <c r="L52" i="30"/>
  <c r="L53" i="30" s="1"/>
  <c r="L42" i="30" s="1"/>
  <c r="L43" i="30" s="1"/>
  <c r="B21" i="32"/>
  <c r="F59" i="32"/>
  <c r="O31" i="31"/>
  <c r="O32" i="31" s="1"/>
  <c r="AB55" i="31"/>
  <c r="B17" i="26"/>
  <c r="B14" i="26"/>
  <c r="F59" i="31"/>
  <c r="B21" i="31"/>
  <c r="I70" i="32" l="1"/>
  <c r="B25" i="32"/>
  <c r="O46" i="32"/>
  <c r="O45" i="32"/>
  <c r="F67" i="30"/>
  <c r="L55" i="30"/>
  <c r="L56" i="30"/>
  <c r="C21" i="30"/>
  <c r="I70" i="31"/>
  <c r="O46" i="31"/>
  <c r="O45" i="31"/>
  <c r="B25" i="31"/>
</calcChain>
</file>

<file path=xl/comments1.xml><?xml version="1.0" encoding="utf-8"?>
<comments xmlns="http://schemas.openxmlformats.org/spreadsheetml/2006/main">
  <authors>
    <author>作者</author>
  </authors>
  <commentList>
    <comment ref="AP29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需要根据最终需求确认默认情况然后修改默认帧率</t>
        </r>
      </text>
    </comment>
    <comment ref="I31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像素格式小于等于像素位深</t>
        </r>
      </text>
    </comment>
    <comment ref="O34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极小曝光模式下不能进行交叠曝光，因此需要多加2倍行周期的余量保证，其中一行是因为触发信号会随机落在两个xhs信号之间，要把这一行留出，再多加一行的余量保证极小曝光模式下不会产生交叠曝光的情况。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AP29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需要根据最终需求确认默认情况然后修改默认帧率</t>
        </r>
      </text>
    </comment>
    <comment ref="I31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像素格式小于等于像素位深</t>
        </r>
      </text>
    </comment>
    <comment ref="O34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极小曝光模式下不能进行交叠曝光，因此需要多加2倍行周期的余量保证，其中一行是因为触发信号会随机落在两个xhs信号之间，要把这一行留出，再多加一行的余量保证极小曝光模式下不会产生交叠曝光的情况。</t>
        </r>
      </text>
    </comment>
  </commentList>
</comments>
</file>

<file path=xl/sharedStrings.xml><?xml version="1.0" encoding="utf-8"?>
<sst xmlns="http://schemas.openxmlformats.org/spreadsheetml/2006/main" count="2296" uniqueCount="695">
  <si>
    <t>Version</t>
  </si>
  <si>
    <t>Revision</t>
  </si>
  <si>
    <t>Date</t>
  </si>
  <si>
    <t>1.0.0</t>
  </si>
  <si>
    <t>MARS-1230-9GX-P initial version</t>
  </si>
  <si>
    <t>1.0.1</t>
  </si>
  <si>
    <t>MARS-1230-9GX-P modify function</t>
  </si>
  <si>
    <t>1.0.2</t>
  </si>
  <si>
    <t>change GevFramerateABS GevFramerateAbsEn</t>
  </si>
  <si>
    <t>1.0.3</t>
  </si>
  <si>
    <t>modify format</t>
  </si>
  <si>
    <t>1.0.4</t>
  </si>
  <si>
    <t>modify GevSCPDMaxValue and BandwidthReserveMaxValue</t>
  </si>
  <si>
    <t>1.0.5</t>
  </si>
  <si>
    <t>add MARS-880-13GX-P</t>
  </si>
  <si>
    <t>1.0.6</t>
  </si>
  <si>
    <t>add MARS-3140-3GX-P</t>
  </si>
  <si>
    <t>1.0.7</t>
  </si>
  <si>
    <t>modify MARS-3140-3GX-P eth_valid_bandwidth</t>
  </si>
  <si>
    <t>1.0.8</t>
  </si>
  <si>
    <t>modify MARS-3140-3GX-P EstimatedBandwidth</t>
  </si>
  <si>
    <t>1.0.9</t>
  </si>
  <si>
    <t>Added MARS-2622-4GX-NIR frame rate calculation table</t>
  </si>
  <si>
    <t>1.0.10</t>
  </si>
  <si>
    <t>modify MARS-3140-3GX-P frame rate calculation table</t>
  </si>
  <si>
    <t>1.0.11</t>
  </si>
  <si>
    <t>1.0.12</t>
  </si>
  <si>
    <t>AddedMARS-033-262GM-P-TN-SWIR frame rate calculation table</t>
  </si>
  <si>
    <t>Width</t>
  </si>
  <si>
    <t>Height</t>
  </si>
  <si>
    <t>ExposureTime(us)</t>
  </si>
  <si>
    <t>PixelFormat(8/12)</t>
  </si>
  <si>
    <t>GevSCPSPacketSize</t>
  </si>
  <si>
    <t>GevSCPD</t>
  </si>
  <si>
    <t>GevSCPDMaxValue</t>
  </si>
  <si>
    <t>GevFramerateABS</t>
  </si>
  <si>
    <t>GevFramerateAbsEn</t>
  </si>
  <si>
    <t>LinkSpeed(Mbps)</t>
  </si>
  <si>
    <t>BandwidthReserve</t>
  </si>
  <si>
    <t>BandwidthReserveMaxValue</t>
  </si>
  <si>
    <t>FPS</t>
  </si>
  <si>
    <t>camera_model</t>
  </si>
  <si>
    <t>相机型号</t>
  </si>
  <si>
    <t>mars-1230-9gx</t>
  </si>
  <si>
    <t>计算结果</t>
  </si>
  <si>
    <t>计算过程</t>
  </si>
  <si>
    <t>Sensor寄存器</t>
  </si>
  <si>
    <t>Demo关联项</t>
  </si>
  <si>
    <t>参数</t>
  </si>
  <si>
    <t>描述</t>
  </si>
  <si>
    <t>公式</t>
  </si>
  <si>
    <t>计算值</t>
  </si>
  <si>
    <t>单位</t>
  </si>
  <si>
    <t>固定参数</t>
  </si>
  <si>
    <t>寄存器名</t>
  </si>
  <si>
    <t>地址
dec</t>
  </si>
  <si>
    <t>地址
dec(hex)</t>
  </si>
  <si>
    <t>推算值
hex</t>
  </si>
  <si>
    <t>默认值</t>
  </si>
  <si>
    <t>用户值</t>
  </si>
  <si>
    <t>帧率</t>
  </si>
  <si>
    <t>推算值
dec</t>
  </si>
  <si>
    <t>REGHOLD</t>
  </si>
  <si>
    <t>sensor寄存器保持</t>
  </si>
  <si>
    <t>0: Invalid 1: Valid</t>
  </si>
  <si>
    <t>像素格式</t>
  </si>
  <si>
    <t>tRow</t>
  </si>
  <si>
    <t>行周期</t>
  </si>
  <si>
    <t>ROUNDUP(1000000*hmax/Finck),0)</t>
  </si>
  <si>
    <t>ns</t>
  </si>
  <si>
    <t>Sensor输入时钟频率
(手册第一页Features Input frequency)</t>
  </si>
  <si>
    <t>37.125 or 74.25 抖动幅度0.96~1.02</t>
  </si>
  <si>
    <t>KHz</t>
  </si>
  <si>
    <t>ROIPV1_L</t>
  </si>
  <si>
    <t>RO1 1垂直偏移</t>
  </si>
  <si>
    <t>roi_offset_y</t>
  </si>
  <si>
    <t>PixelFormat</t>
  </si>
  <si>
    <t>像素格式(8/12)</t>
  </si>
  <si>
    <t>tFrame</t>
  </si>
  <si>
    <t>帧周期</t>
  </si>
  <si>
    <t>frame_lines*tRow</t>
  </si>
  <si>
    <t>us</t>
  </si>
  <si>
    <t>sensor</t>
  </si>
  <si>
    <t>相机对应sensor的型号</t>
  </si>
  <si>
    <t>-</t>
  </si>
  <si>
    <t>ROIPV1_H</t>
  </si>
  <si>
    <t>曝光时间</t>
  </si>
  <si>
    <t>fFrame</t>
  </si>
  <si>
    <t>1000/tFrame</t>
  </si>
  <si>
    <t>fps</t>
  </si>
  <si>
    <t>port</t>
  </si>
  <si>
    <t>相机对应的后端接口</t>
  </si>
  <si>
    <t>ROIWV1_L</t>
  </si>
  <si>
    <t>RO1 1垂直高度</t>
  </si>
  <si>
    <t>roi_pic_height</t>
  </si>
  <si>
    <t>ExposureTime</t>
  </si>
  <si>
    <t>曝光时间(us)</t>
  </si>
  <si>
    <t>决定帧周期的四个变量</t>
  </si>
  <si>
    <t>margin_x</t>
  </si>
  <si>
    <t>有效像素边界
(手册Pixel Arrangement章节，图示)</t>
  </si>
  <si>
    <t>pixel</t>
  </si>
  <si>
    <t>ROIWV1_H</t>
  </si>
  <si>
    <t>ExposureDelay</t>
  </si>
  <si>
    <t>曝光延迟</t>
  </si>
  <si>
    <t>触发延时</t>
  </si>
  <si>
    <t>readout_period_time</t>
  </si>
  <si>
    <t>读出时间决定的帧周期</t>
  </si>
  <si>
    <t>readout_time+VBmin</t>
  </si>
  <si>
    <t>line</t>
  </si>
  <si>
    <t>margin_y</t>
  </si>
  <si>
    <t>IMX253 IMX304-4
IMX255 IMX267-8</t>
  </si>
  <si>
    <t>FPGA寄存器</t>
  </si>
  <si>
    <t>TriggerDelay</t>
  </si>
  <si>
    <t>触发延迟(us)</t>
  </si>
  <si>
    <t>exp_period_time</t>
  </si>
  <si>
    <t>曝光时间决定的帧周期</t>
  </si>
  <si>
    <t>exp_line_num+ExpIntMin</t>
  </si>
  <si>
    <t>hmax</t>
  </si>
  <si>
    <t>每行宽度(U3平台)
(手册Readout Drive Modes章节，见表格，All pixel模式)</t>
  </si>
  <si>
    <t>GIGE(4ch):  
固定为4通道807
U3(8ch):  
IMX253-417    IMX255-834
IMX255-417    IMX255-834
IMX304-522    IMX304-1044
IMX267-522    IMX267-1044</t>
  </si>
  <si>
    <t>inck</t>
  </si>
  <si>
    <t>slave_hmax</t>
  </si>
  <si>
    <t>FPGA行周期</t>
  </si>
  <si>
    <t>dec2hex(hmax)</t>
  </si>
  <si>
    <t>hmax(4ch)</t>
  </si>
  <si>
    <t>每行宽度(GIGE平台)
(手册Readout Drive Modes章节，见表格，All pixel模式)</t>
  </si>
  <si>
    <t xml:space="preserve">IMX304-807    
IMX267-807    </t>
  </si>
  <si>
    <t>slave_exp_delay</t>
  </si>
  <si>
    <t>FPGA曝光延迟寄存器</t>
  </si>
  <si>
    <t>dec2hex(ExpDelayLine)</t>
  </si>
  <si>
    <t>ROI</t>
  </si>
  <si>
    <t>fps_limit_period_time</t>
  </si>
  <si>
    <t>帧率限制帧周期</t>
  </si>
  <si>
    <t>ROUNDUP(((100000000/AcquisitionFrameRate)/tRow)*AcquisitionFrameRateMode,0)</t>
  </si>
  <si>
    <t>VBmin</t>
  </si>
  <si>
    <r>
      <rPr>
        <sz val="11"/>
        <color theme="1"/>
        <rFont val="宋体"/>
        <family val="3"/>
        <charset val="134"/>
        <scheme val="minor"/>
      </rPr>
      <t>最小帧消隐行数
(手册Global Shutter (Sequential Trigger Mode) Operation章节，V</t>
    </r>
    <r>
      <rPr>
        <sz val="9"/>
        <color theme="1"/>
        <rFont val="宋体"/>
        <family val="3"/>
        <charset val="134"/>
        <scheme val="minor"/>
      </rPr>
      <t>TR公式</t>
    </r>
    <r>
      <rPr>
        <sz val="11"/>
        <color theme="1"/>
        <rFont val="宋体"/>
        <family val="3"/>
        <charset val="134"/>
        <scheme val="minor"/>
      </rPr>
      <t>最后一个参数)</t>
    </r>
  </si>
  <si>
    <t>帧消隐最小值:
IMX253 IMX255-54
IMX304 IMX267-34</t>
  </si>
  <si>
    <t>slave_exp_time</t>
  </si>
  <si>
    <t>FPGA曝光寄存器</t>
  </si>
  <si>
    <t>dec2hex(exp_line_num)</t>
  </si>
  <si>
    <t>OffsetX</t>
  </si>
  <si>
    <t>水平偏移</t>
  </si>
  <si>
    <t>tp_limit_period_time</t>
  </si>
  <si>
    <t>带宽限制帧周期</t>
  </si>
  <si>
    <t>U3:
1000/frame_time_u3
GIGE:
1000/frame_time_gige</t>
  </si>
  <si>
    <t>ExpIntMin</t>
  </si>
  <si>
    <t>两次曝光间隔最小值
(手册Global Shutter (Sequential Trigger Mode) Operation章节，表格Parameter List of Global Shutter中的tTGES+1)</t>
  </si>
  <si>
    <t>IMX253 IMX255-24
IMX304 IMX267-12</t>
  </si>
  <si>
    <t>slave_trigger_interval</t>
  </si>
  <si>
    <t>触发间隔寄存器</t>
  </si>
  <si>
    <t>dec2hex(FramePeriod)</t>
  </si>
  <si>
    <t>OffsetY</t>
  </si>
  <si>
    <t>垂直偏移</t>
  </si>
  <si>
    <t>其他</t>
  </si>
  <si>
    <t>tOFFSET</t>
  </si>
  <si>
    <t>曝光时间误差
(手册Global Shutter (Sequential Trigger Mode) Operation章节，Exposuretime[s]公式最后一个参数)</t>
  </si>
  <si>
    <t>param_cfg_done</t>
  </si>
  <si>
    <t>寄存器成组生效标志，自清零
1:成组生效寄存器设置完成</t>
  </si>
  <si>
    <t>图像宽度</t>
  </si>
  <si>
    <t>exp_line_num</t>
  </si>
  <si>
    <t>实际曝光行数</t>
  </si>
  <si>
    <t>max(ROUNDUP(((exp_time*1000-tOFFSET)/tRow),0),1)</t>
  </si>
  <si>
    <t>bandwidth_max</t>
  </si>
  <si>
    <t>前端带宽最大值
用于限制最大窗口下的帧率</t>
  </si>
  <si>
    <t xml:space="preserve">U3:           GIGE:
3950          IMX304-1106   
              IMX267-1250   </t>
  </si>
  <si>
    <t>MByte/10s</t>
  </si>
  <si>
    <t>图像高度</t>
  </si>
  <si>
    <t>trig_to_strobe</t>
  </si>
  <si>
    <t>从触发到闪光灯的时间</t>
  </si>
  <si>
    <t>帧周期参数-U3</t>
  </si>
  <si>
    <t>chunk</t>
  </si>
  <si>
    <t>strobe_time</t>
  </si>
  <si>
    <t>闪光灯维持时间</t>
  </si>
  <si>
    <t>if(exp_time&gt;100us,exp_time,100us)</t>
  </si>
  <si>
    <t>ChunkEnableFrameID</t>
  </si>
  <si>
    <t>待定</t>
  </si>
  <si>
    <t>tTrigFrame</t>
  </si>
  <si>
    <t>从触发信号到得图</t>
  </si>
  <si>
    <t>(exp_time+11*tRow)/1000 + readout_time*tRow/1000</t>
  </si>
  <si>
    <t>leader size</t>
  </si>
  <si>
    <t>leader长度</t>
  </si>
  <si>
    <t>byte</t>
  </si>
  <si>
    <t>ChunkEnableTimestamp</t>
  </si>
  <si>
    <t>U3 Transmission bandwidth</t>
  </si>
  <si>
    <t>U3传输带宽</t>
  </si>
  <si>
    <t>frame_freq*frame_size/1000000</t>
  </si>
  <si>
    <t>MByte/s</t>
  </si>
  <si>
    <t>trailer size</t>
  </si>
  <si>
    <t>trailer长度</t>
  </si>
  <si>
    <t>if(chunk_mode_active=1,36,32)</t>
  </si>
  <si>
    <t>ChunkModeActive</t>
  </si>
  <si>
    <t>GIGE estimate bandwidth</t>
  </si>
  <si>
    <t>GIGE预估带宽</t>
  </si>
  <si>
    <t>frame_freq*image_size/1000000</t>
  </si>
  <si>
    <t>Byte/s</t>
  </si>
  <si>
    <t>image_size</t>
  </si>
  <si>
    <t>传输图像大小</t>
  </si>
  <si>
    <t>H*W*n，if pixel format = 8bit，n=1，else n=2</t>
  </si>
  <si>
    <t>带宽控制-U3</t>
  </si>
  <si>
    <t>readout_time</t>
  </si>
  <si>
    <t>实际读出时间
(Sequential Trigger Mode) Operation章节，表格Parameter List of Global Shutter中的tTGDLY)</t>
  </si>
  <si>
    <t>pic_height + tTGDLY</t>
  </si>
  <si>
    <t>frame_size</t>
  </si>
  <si>
    <t>传输图像尺寸</t>
  </si>
  <si>
    <t>leader_size+trailer_size+image_size size+(8+16*chunkid_en_ts+16*chunkid_en_fid)*chunk_mode_active</t>
  </si>
  <si>
    <t>DeviceLinkThroughputLimitMode</t>
  </si>
  <si>
    <t>带宽限制开关</t>
  </si>
  <si>
    <t>data_MaxValue</t>
  </si>
  <si>
    <t>传输数据最大值</t>
  </si>
  <si>
    <t>12500*LinkSpeed*(100-BandwidthReserve)</t>
  </si>
  <si>
    <t>tp_limit_period_time_u3</t>
  </si>
  <si>
    <t>ROUNDUP((max((frame_size*1000000/DeviceLinkThroughputLimit)*DeviceLinkThroughputLimitMode,(10*frame_size*1000000/bandwidth_max),0)</t>
  </si>
  <si>
    <t>DeviceLinkThroughputLimit</t>
  </si>
  <si>
    <t>带宽限制值(Bps)</t>
  </si>
  <si>
    <t>BandwidthData_MaxValue</t>
  </si>
  <si>
    <t>带宽数据最大值</t>
  </si>
  <si>
    <t>((62+(GevSCPSPacketSize-36))*complete_packet_num+62+incomplete_packet_size+168)+(GevSCPD+12)*(complete_packet_num+3)</t>
  </si>
  <si>
    <t>以太网参数-GIGE</t>
  </si>
  <si>
    <t>带宽控制-GIGE</t>
  </si>
  <si>
    <t>LinkSpeed</t>
  </si>
  <si>
    <t>网络连接速度(Mbit/s)</t>
  </si>
  <si>
    <t>preamble</t>
  </si>
  <si>
    <t>前导符</t>
  </si>
  <si>
    <t>固定为7byte</t>
  </si>
  <si>
    <r>
      <rPr>
        <sz val="11"/>
        <color theme="1"/>
        <rFont val="宋体"/>
        <family val="3"/>
        <charset val="134"/>
        <scheme val="minor"/>
      </rPr>
      <t xml:space="preserve">包长
(指的是以太网的负载包长 范围:512-16384)
</t>
    </r>
    <r>
      <rPr>
        <sz val="11"/>
        <color rgb="FFFF0000"/>
        <rFont val="宋体"/>
        <family val="3"/>
        <charset val="134"/>
        <scheme val="minor"/>
      </rPr>
      <t>该数值包含协议开销综合I，不包II</t>
    </r>
  </si>
  <si>
    <t>sfd</t>
  </si>
  <si>
    <t>起始帧分界符</t>
  </si>
  <si>
    <t>固定为1byte</t>
  </si>
  <si>
    <t>eth_header</t>
  </si>
  <si>
    <t>以太网协议头</t>
  </si>
  <si>
    <t>目的地址6byte+源地址6byte+以太网类型2byte</t>
  </si>
  <si>
    <t>GevSCPD_MaxValue</t>
  </si>
  <si>
    <t>包间隔最大值</t>
  </si>
  <si>
    <t>ip_header</t>
  </si>
  <si>
    <t>ip协议头</t>
  </si>
  <si>
    <t>固定为20byte</t>
  </si>
  <si>
    <t>udp_header</t>
  </si>
  <si>
    <t>udp协议头</t>
  </si>
  <si>
    <t>固定为8byte</t>
  </si>
  <si>
    <t>BandwidthReserve_MaxValue</t>
  </si>
  <si>
    <t>预留带宽最大值</t>
  </si>
  <si>
    <t>gigev_header</t>
  </si>
  <si>
    <t>gige vision协议头</t>
  </si>
  <si>
    <t>帧率控制</t>
  </si>
  <si>
    <t>fcs</t>
  </si>
  <si>
    <t>CRC校验</t>
  </si>
  <si>
    <t>固定为4byte</t>
  </si>
  <si>
    <t>AcquisitionFrameRateMode</t>
  </si>
  <si>
    <t>帧率控制开关</t>
  </si>
  <si>
    <t>ifg_min</t>
  </si>
  <si>
    <t>最小帧间隔</t>
  </si>
  <si>
    <t>固定为12byte</t>
  </si>
  <si>
    <t>AcquisitionFrameRate</t>
  </si>
  <si>
    <t>帧率控制值(fps)</t>
  </si>
  <si>
    <t>header_in_payload</t>
  </si>
  <si>
    <t>协议开销总和I:以太网负载部分的协议开销</t>
  </si>
  <si>
    <t>ip_header+udp_header+gigev_header</t>
  </si>
  <si>
    <t>eth_protocol_byte</t>
  </si>
  <si>
    <t>协议开销总和II:以太网协议开销</t>
  </si>
  <si>
    <t>preamble+sfd+eth_header+fcs</t>
  </si>
  <si>
    <t>data_size_min</t>
  </si>
  <si>
    <t>数据包长最小值</t>
  </si>
  <si>
    <t>64-eth_header-fcs-header_in_payload</t>
  </si>
  <si>
    <t>帧周期参数-GIGE</t>
  </si>
  <si>
    <r>
      <rPr>
        <sz val="11"/>
        <color theme="1"/>
        <rFont val="宋体"/>
        <family val="3"/>
        <charset val="134"/>
        <scheme val="minor"/>
      </rPr>
      <t>leader长度</t>
    </r>
    <r>
      <rPr>
        <sz val="11"/>
        <color rgb="FFFF0000"/>
        <rFont val="宋体"/>
        <family val="3"/>
        <charset val="134"/>
        <scheme val="minor"/>
      </rPr>
      <t>（净长）</t>
    </r>
  </si>
  <si>
    <t>chunk off:36
chunk on:12</t>
  </si>
  <si>
    <r>
      <rPr>
        <sz val="11"/>
        <color theme="1"/>
        <rFont val="宋体"/>
        <family val="3"/>
        <charset val="134"/>
        <scheme val="minor"/>
      </rPr>
      <t>trailer长度</t>
    </r>
    <r>
      <rPr>
        <sz val="11"/>
        <color rgb="FFFF0000"/>
        <rFont val="宋体"/>
        <family val="3"/>
        <charset val="134"/>
        <scheme val="minor"/>
      </rPr>
      <t>（净长）</t>
    </r>
  </si>
  <si>
    <t>实际上trailer大小是8byte，为了和64byte的以太网包对齐，此处写为10byte</t>
  </si>
  <si>
    <r>
      <rPr>
        <sz val="11"/>
        <color theme="1"/>
        <rFont val="宋体"/>
        <family val="3"/>
        <charset val="134"/>
        <scheme val="minor"/>
      </rPr>
      <t>传输图像大小</t>
    </r>
    <r>
      <rPr>
        <sz val="11"/>
        <color rgb="FFFF0000"/>
        <rFont val="宋体"/>
        <family val="3"/>
        <charset val="134"/>
        <scheme val="minor"/>
      </rPr>
      <t>（净长）</t>
    </r>
  </si>
  <si>
    <t>image_chunk_size</t>
  </si>
  <si>
    <r>
      <rPr>
        <sz val="11"/>
        <color theme="1"/>
        <rFont val="宋体"/>
        <family val="3"/>
        <charset val="134"/>
        <scheme val="minor"/>
      </rPr>
      <t>图像+chunk大小</t>
    </r>
    <r>
      <rPr>
        <sz val="11"/>
        <color rgb="FFFF0000"/>
        <rFont val="宋体"/>
        <family val="3"/>
        <charset val="134"/>
        <scheme val="minor"/>
      </rPr>
      <t>（净长）</t>
    </r>
  </si>
  <si>
    <r>
      <rPr>
        <sz val="11"/>
        <color rgb="FFFF0000"/>
        <rFont val="宋体"/>
        <family val="3"/>
        <charset val="134"/>
        <scheme val="minor"/>
      </rPr>
      <t>image_size</t>
    </r>
    <r>
      <rPr>
        <sz val="11"/>
        <color theme="1"/>
        <rFont val="宋体"/>
        <family val="3"/>
        <charset val="134"/>
        <scheme val="minor"/>
      </rPr>
      <t>+32*chunk_mode_active</t>
    </r>
  </si>
  <si>
    <t>complete_packet_num</t>
  </si>
  <si>
    <t>完整包个数</t>
  </si>
  <si>
    <t>int(image_chunk_size/(GevSCPSPacketSize-header_in_payload))</t>
  </si>
  <si>
    <t>incomplete_packet_size</t>
  </si>
  <si>
    <r>
      <rPr>
        <sz val="11"/>
        <color theme="1"/>
        <rFont val="宋体"/>
        <family val="3"/>
        <charset val="134"/>
        <scheme val="minor"/>
      </rPr>
      <t>残包大小</t>
    </r>
    <r>
      <rPr>
        <sz val="11"/>
        <color rgb="FFFF0000"/>
        <rFont val="宋体"/>
        <family val="3"/>
        <charset val="134"/>
        <scheme val="minor"/>
      </rPr>
      <t>（净长）</t>
    </r>
  </si>
  <si>
    <t>image_chunk_size-(GevSCPSPacketSize-header_in_payload)*complete_packet_num</t>
  </si>
  <si>
    <t>incomplete_packet_num</t>
  </si>
  <si>
    <t>残包个数</t>
  </si>
  <si>
    <t>if(incomplete_packet_size==0,0,1)</t>
  </si>
  <si>
    <t>incomplete_packet_size_min</t>
  </si>
  <si>
    <r>
      <rPr>
        <sz val="11"/>
        <color theme="1"/>
        <rFont val="宋体"/>
        <family val="3"/>
        <charset val="134"/>
        <scheme val="minor"/>
      </rPr>
      <t>经过最小包长判断之后的残包大小</t>
    </r>
    <r>
      <rPr>
        <sz val="11"/>
        <color rgb="FFFF0000"/>
        <rFont val="宋体"/>
        <family val="3"/>
        <charset val="134"/>
        <scheme val="minor"/>
      </rPr>
      <t>（净长）</t>
    </r>
  </si>
  <si>
    <t>残包大小最少要是64byte
if(incomplete_packet_size&lt;data_size_min,data_size_min,incomplete_packet_size)</t>
  </si>
  <si>
    <t>leader_packet_size</t>
  </si>
  <si>
    <r>
      <rPr>
        <sz val="11"/>
        <color theme="1"/>
        <rFont val="宋体"/>
        <family val="3"/>
        <charset val="134"/>
        <scheme val="minor"/>
      </rPr>
      <t>以太网传输leader包的大小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</si>
  <si>
    <t>eth_protocol_byte+header_in_payload+leader_size</t>
  </si>
  <si>
    <t>trailer_packet_size</t>
  </si>
  <si>
    <r>
      <rPr>
        <sz val="11"/>
        <color theme="1"/>
        <rFont val="宋体"/>
        <family val="3"/>
        <charset val="134"/>
        <scheme val="minor"/>
      </rPr>
      <t>以太网传输trailer包的大小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</si>
  <si>
    <t>frame_packet_size</t>
  </si>
  <si>
    <r>
      <rPr>
        <sz val="11"/>
        <color theme="1"/>
        <rFont val="宋体"/>
        <family val="3"/>
        <charset val="134"/>
        <scheme val="minor"/>
      </rPr>
      <t>以太网传输image和chunk的大小</t>
    </r>
    <r>
      <rPr>
        <sz val="11"/>
        <color rgb="FFFF0000"/>
        <rFont val="宋体"/>
        <family val="3"/>
        <charset val="134"/>
        <scheme val="minor"/>
      </rPr>
      <t>（包含全部协议开销）</t>
    </r>
  </si>
  <si>
    <t>complete_packet_num*(packet_size+eth_protocol_byte)+incomplete_packet_num*(incomplete_packet_size_min+eth_protocol_byte+header_in_payload)</t>
  </si>
  <si>
    <t>all_packet_gap</t>
  </si>
  <si>
    <r>
      <rPr>
        <sz val="11"/>
        <color theme="1"/>
        <rFont val="宋体"/>
        <family val="3"/>
        <charset val="134"/>
        <scheme val="minor"/>
      </rPr>
      <t xml:space="preserve">所有的帧间隔
</t>
    </r>
    <r>
      <rPr>
        <sz val="11"/>
        <color rgb="FFFF0000"/>
        <rFont val="宋体"/>
        <family val="3"/>
        <charset val="134"/>
        <scheme val="minor"/>
      </rPr>
      <t>（前导码和CRC校验已经在计算开销II时加过一次，这里只对最小帧间隔进行计算）</t>
    </r>
  </si>
  <si>
    <t>(leader+trailer+残包个数+完整包个数)*MAX(GevSCPD,ifg_min)</t>
  </si>
  <si>
    <r>
      <rPr>
        <sz val="11"/>
        <color theme="1"/>
        <rFont val="宋体"/>
        <family val="3"/>
        <charset val="134"/>
        <scheme val="minor"/>
      </rPr>
      <t>传输图像尺寸</t>
    </r>
    <r>
      <rPr>
        <sz val="11"/>
        <color rgb="FFFF0000"/>
        <rFont val="宋体"/>
        <family val="3"/>
        <charset val="134"/>
        <scheme val="minor"/>
      </rPr>
      <t>（包含全部协议开销与包间隔）</t>
    </r>
  </si>
  <si>
    <t>leader_packet_size+trailer_packet_size+frame_packet_size+all_packet_gap</t>
  </si>
  <si>
    <t>eth_valid_bandwidth</t>
  </si>
  <si>
    <t>以太网有效传输带宽</t>
  </si>
  <si>
    <t>int(link_speed*(100-BandwidthReserve)*10/100/8)</t>
  </si>
  <si>
    <t>Mbyte/10s</t>
  </si>
  <si>
    <t>backend_limit_period_time</t>
  </si>
  <si>
    <t>后端传输限制的帧周期</t>
  </si>
  <si>
    <t>ROUNDUP(frame_size/eth_valid_bandwidth*10/tRow)</t>
  </si>
  <si>
    <t>frontend_limit_period_time</t>
  </si>
  <si>
    <t>前端最大带宽限制的帧周期</t>
  </si>
  <si>
    <t>ROUNDUP((image_chunk_size+leader size+trailer)/bandwidth_max)/tRow</t>
  </si>
  <si>
    <t>tp_limit_period_time_gige</t>
  </si>
  <si>
    <t>max(backend_limit_period_time,frontend_limit_period_time)</t>
  </si>
  <si>
    <t>mars-880-13gx</t>
  </si>
  <si>
    <t>参数输入：</t>
  </si>
  <si>
    <t>图像宽度最大值</t>
  </si>
  <si>
    <t>WidthMax</t>
  </si>
  <si>
    <t>图像高度最大值</t>
  </si>
  <si>
    <t>HeightMax</t>
  </si>
  <si>
    <t>水平像素Binning</t>
  </si>
  <si>
    <t>BinningHorizontal</t>
  </si>
  <si>
    <t>垂直像素Binning</t>
  </si>
  <si>
    <t>BinningVertical</t>
  </si>
  <si>
    <t>水平像素抽样</t>
  </si>
  <si>
    <t>DecimationHorizontal</t>
  </si>
  <si>
    <t>垂直像素抽样</t>
  </si>
  <si>
    <t>DecimationVertical</t>
  </si>
  <si>
    <t>ExposureDelay(us)</t>
  </si>
  <si>
    <t>包长</t>
  </si>
  <si>
    <t>包间隔</t>
  </si>
  <si>
    <t>采集帧率值</t>
  </si>
  <si>
    <t>采集帧率设置使能</t>
  </si>
  <si>
    <t>网络连接速度</t>
  </si>
  <si>
    <t>预留带宽</t>
  </si>
  <si>
    <t>采集帧率设置值</t>
  </si>
  <si>
    <t>ROI帧周期</t>
  </si>
  <si>
    <t>曝光寄存器</t>
  </si>
  <si>
    <t>曝光延迟寄存器</t>
  </si>
  <si>
    <t>曝光帧周期</t>
  </si>
  <si>
    <t>帧信息</t>
  </si>
  <si>
    <t>包个数</t>
  </si>
  <si>
    <t>残包大小</t>
  </si>
  <si>
    <t>图像传输周期</t>
  </si>
  <si>
    <t>采集帧率帧周期</t>
  </si>
  <si>
    <t>包间隔范围</t>
  </si>
  <si>
    <t>预留带宽范围</t>
  </si>
  <si>
    <t>包间隔未限制</t>
  </si>
  <si>
    <t>帧周期（时间us）</t>
  </si>
  <si>
    <t>FrameRate</t>
  </si>
  <si>
    <t>图像传输带宽</t>
  </si>
  <si>
    <t>预估带宽</t>
  </si>
  <si>
    <t>Binning/Skipping后最大宽度</t>
  </si>
  <si>
    <t>Binning/Skipping后最大高度</t>
  </si>
  <si>
    <t>实际生效的水平系数</t>
  </si>
  <si>
    <t>实际生效的垂直系数</t>
  </si>
  <si>
    <t>Binning/Skipping前宽度(寄存器)</t>
  </si>
  <si>
    <t>Binning/Skipping前高度（寄存器）</t>
  </si>
  <si>
    <t>根据系数还原宽度</t>
  </si>
  <si>
    <t>根据系数还原高度</t>
  </si>
  <si>
    <t>Binning/Skipping后宽度</t>
  </si>
  <si>
    <t>Binning/Skipping后高度</t>
  </si>
  <si>
    <t>计算结果：</t>
  </si>
  <si>
    <t>Error information：</t>
  </si>
  <si>
    <t>Current parameter is not in the range [64, 'WidthMax'], please input again.</t>
  </si>
  <si>
    <t>Current parameter is not in the range [64, 'HeightMax'], please input again.</t>
  </si>
  <si>
    <t xml:space="preserve">The frame rate calculated by current parameter may be incorrect, please modify paramerters according to prompt. </t>
  </si>
  <si>
    <t>FrameRateCorrect：</t>
  </si>
  <si>
    <t>帧率控制值</t>
  </si>
  <si>
    <t>错误信息：</t>
  </si>
  <si>
    <t>当前参数不在范围4~图像宽度最大值内，请重新输入</t>
  </si>
  <si>
    <t>当前参数不在范围2~图像高度最大值内，请重新输入</t>
  </si>
  <si>
    <t>当前帧率计算表中参数计算出的帧率可能出现异常，请根据提示修改参数</t>
  </si>
  <si>
    <t>帧率计算是否正确：</t>
  </si>
  <si>
    <t>me2p-2621-4gx</t>
  </si>
  <si>
    <t>映射关系表（绝大多数应用于本表格的公式计算，还有一些关联fpga工程中的宏定义）</t>
  </si>
  <si>
    <t>参数输入</t>
  </si>
  <si>
    <t>固定参数（每款sensor值不一样，需要提取成宏）</t>
  </si>
  <si>
    <t>1.camera_model</t>
  </si>
  <si>
    <t>2.sensor</t>
  </si>
  <si>
    <t xml:space="preserve">3.Master Clock </t>
  </si>
  <si>
    <t>4.pixel_clk</t>
  </si>
  <si>
    <t>5.phy num</t>
  </si>
  <si>
    <t>6.phy ch num</t>
  </si>
  <si>
    <t>7.margin_x</t>
  </si>
  <si>
    <t>8.margin_y</t>
  </si>
  <si>
    <t>9.sensor_width_min</t>
  </si>
  <si>
    <t>10.sensor_height_min</t>
  </si>
  <si>
    <t>11.sensor_width_max</t>
  </si>
  <si>
    <t>12.sensor_height_max</t>
  </si>
  <si>
    <t>13.Tfot</t>
  </si>
  <si>
    <t>14.LINE_U_LENGTH</t>
  </si>
  <si>
    <t>15.Nline</t>
  </si>
  <si>
    <t>16.exp_start_dly_line</t>
  </si>
  <si>
    <t>17.exp_end_dly_clk</t>
  </si>
  <si>
    <t>18.tp_row_num</t>
  </si>
  <si>
    <t>19.VBmin</t>
  </si>
  <si>
    <t>20.Readout margin</t>
  </si>
  <si>
    <t>21.PixelFormat</t>
  </si>
  <si>
    <t>22.Default exposureTime</t>
  </si>
  <si>
    <t>23.Default pic_width</t>
  </si>
  <si>
    <t>24.Default pic_height</t>
  </si>
  <si>
    <t>25.Default FrameRate</t>
  </si>
  <si>
    <t>用户值
dec</t>
  </si>
  <si>
    <t>gmax0505</t>
  </si>
  <si>
    <t>img_row_time</t>
  </si>
  <si>
    <t>图像行周期NROT</t>
  </si>
  <si>
    <t>1000*Nline*LINE_U_LENGTH/freq_pix_clk</t>
  </si>
  <si>
    <t>freq_pix_clk</t>
  </si>
  <si>
    <t>像素时钟频率</t>
  </si>
  <si>
    <t>参见映射关系表</t>
  </si>
  <si>
    <t>MHz</t>
  </si>
  <si>
    <t>pixel_format</t>
  </si>
  <si>
    <t>frame_time</t>
  </si>
  <si>
    <t>max(readout_period_time,exp_period_time,tp_limit_period_time,fps_limit_period_time)</t>
  </si>
  <si>
    <t>LINE_U_LENGTH</t>
  </si>
  <si>
    <t>frame_freq</t>
  </si>
  <si>
    <t>1000000/frame_time</t>
  </si>
  <si>
    <t>Tfot</t>
  </si>
  <si>
    <t>FOT时间</t>
  </si>
  <si>
    <t>exp_time</t>
  </si>
  <si>
    <t>Nline</t>
  </si>
  <si>
    <t>行周期计算系数</t>
  </si>
  <si>
    <t>exp_delay</t>
  </si>
  <si>
    <t>ROUNDUP(((Height+VBmin+Readout margin)*img_row_time+Tfot)/1000,0)</t>
  </si>
  <si>
    <t>最小帧消隐行数</t>
  </si>
  <si>
    <t>roundup(ExposureTime+exp_start_delay+exp_end_delay+Tfot)</t>
  </si>
  <si>
    <t>exp_start_dly_line</t>
  </si>
  <si>
    <t>曝光开始延迟</t>
  </si>
  <si>
    <t>trig_delay</t>
  </si>
  <si>
    <t>触发延迟</t>
  </si>
  <si>
    <t>ROUNDUP((1000000/fps_limit_value)*fps_limit,0)</t>
  </si>
  <si>
    <t>exp_end_dly_clk</t>
  </si>
  <si>
    <t>曝光结束延迟</t>
  </si>
  <si>
    <t>clk</t>
  </si>
  <si>
    <t>bandwidth_limit_period_time</t>
  </si>
  <si>
    <t>tp_row_num</t>
  </si>
  <si>
    <t>行暂停时间</t>
  </si>
  <si>
    <t>sensor相关信息</t>
  </si>
  <si>
    <t>Readout margin</t>
  </si>
  <si>
    <t>读出时间边界预留</t>
  </si>
  <si>
    <t>实际曝光时间</t>
  </si>
  <si>
    <t>ROUNDUP((1000*ExposureTime-1000*tp_row_num/freq_pix_clk)/1000,0)</t>
  </si>
  <si>
    <t>Gige Vision参数</t>
  </si>
  <si>
    <t>exp_delay_line_num</t>
  </si>
  <si>
    <t>曝光延迟时间</t>
  </si>
  <si>
    <t>judgment of risky duration</t>
  </si>
  <si>
    <t>判断下帧曝光是否落到风险区</t>
  </si>
  <si>
    <t>IF((frame_time-exp_time)&lt;readout_period_time,IF((frame_time-exp_time)&gt;=(readout_period_time-6*ROUNDUP(img_row_time/1000,0)),1,0),0)</t>
  </si>
  <si>
    <t>exp risky delay time</t>
  </si>
  <si>
    <t>由风险区导致的下帧曝光延迟时间</t>
  </si>
  <si>
    <t>IF(judgment of risky duration=1,readout_period_time-(frame_time-exp_time),0)</t>
  </si>
  <si>
    <t>帧信息使能</t>
  </si>
  <si>
    <t>带宽控制</t>
  </si>
  <si>
    <t>Image effective bandwidth</t>
  </si>
  <si>
    <t>图像有效带宽</t>
  </si>
  <si>
    <t>frame_freq*image_size</t>
  </si>
  <si>
    <t>GevLinkSpeed</t>
  </si>
  <si>
    <t>Mbit/s</t>
  </si>
  <si>
    <t>Transport total value</t>
  </si>
  <si>
    <t>传输总带宽</t>
  </si>
  <si>
    <t>frame_freq*frame_packet_size</t>
  </si>
  <si>
    <t>流通道包长
(指的是以太网的负载包长 范围:512-16384)
该数值包含协议开销综合I，不包II</t>
  </si>
  <si>
    <t>Transport theoretical value</t>
  </si>
  <si>
    <t>传输理论带宽</t>
  </si>
  <si>
    <t>1250*GevLinkSpeed*(100-BandwidthReserve)</t>
  </si>
  <si>
    <t>寄存器</t>
  </si>
  <si>
    <t>地址hex</t>
  </si>
  <si>
    <t>最大包间隔</t>
  </si>
  <si>
    <t>gmax_exposure_delay</t>
  </si>
  <si>
    <t>0x77601654</t>
  </si>
  <si>
    <t>gmax系列相机曝光延时，仅用于配合闪光灯补光使用，单位是us。</t>
  </si>
  <si>
    <t>%</t>
  </si>
  <si>
    <t>Max gevSCPD</t>
  </si>
  <si>
    <t>最大包间隔时间</t>
  </si>
  <si>
    <t>IF(ROUNDDOWN((eth_valid_bandwidth-(frame_packet_size+leader_packet_size+trailer_packet_size))/(complete_packet_num+incomplete_packet_num+2),0)&lt;180000,ROUNDDOWN((eth_valid_bandwidth-(frame_packet_size+leader_packet_size+trailer_packet_size))/(complete_packet_num+incomplete_packet_num+2),0),180000)</t>
  </si>
  <si>
    <t>gmax_exposure_time</t>
  </si>
  <si>
    <t>0x77601658</t>
  </si>
  <si>
    <t>gmax系列相机从模式曝光时间，单位是us</t>
  </si>
  <si>
    <t>最大预留带宽</t>
  </si>
  <si>
    <t>gmax_trigger_interval_cont</t>
  </si>
  <si>
    <t>0x7760165c</t>
  </si>
  <si>
    <t xml:space="preserve">gmax系列相机触发间隔-连续模式，表示帧周期，单位是us。 </t>
  </si>
  <si>
    <t>采集帧率调节模式(0/1)</t>
  </si>
  <si>
    <t>Max BandwidthReserve</t>
  </si>
  <si>
    <t>IF((100-ROUNDDOWN(10*eth_valid_bandwidth/(125000*GevLinkSpeed),0)-1)&lt;0,0,(100-ROUNDDOWN(10*eth_valid_bandwidth/(125000*GevLinkSpeed),0)-1))</t>
  </si>
  <si>
    <t>gmax_trigger_interval_trig</t>
  </si>
  <si>
    <t>0x77601850</t>
  </si>
  <si>
    <t xml:space="preserve">gmax系列相机触发间隔-触发模式，表示帧周期，单位是us。 </t>
  </si>
  <si>
    <t>gmax_readout_time</t>
  </si>
  <si>
    <t>0x7760185C</t>
  </si>
  <si>
    <t>gmax系列相机读出时间，表示图像传输时间，单位是us。</t>
  </si>
  <si>
    <t>Skipping</t>
  </si>
  <si>
    <t>gmax_risky_start</t>
  </si>
  <si>
    <t>0x77601860</t>
  </si>
  <si>
    <t>gmax系列相机风险区范围，单位是us。</t>
  </si>
  <si>
    <t>Height+tp_row_num+4</t>
  </si>
  <si>
    <t>水平Skipping</t>
  </si>
  <si>
    <t>Horizontal Skipping</t>
  </si>
  <si>
    <t>0x77601500</t>
  </si>
  <si>
    <t>1:成组生效寄存器设置完成</t>
  </si>
  <si>
    <t>0x1</t>
  </si>
  <si>
    <t>垂直Skipping</t>
  </si>
  <si>
    <t>Vertical Skipping</t>
  </si>
  <si>
    <t>leader_size</t>
  </si>
  <si>
    <r>
      <rPr>
        <sz val="11"/>
        <rFont val="宋体"/>
        <family val="3"/>
        <charset val="134"/>
        <scheme val="minor"/>
      </rPr>
      <t>leader长度</t>
    </r>
    <r>
      <rPr>
        <sz val="11"/>
        <rFont val="宋体"/>
        <family val="3"/>
        <charset val="134"/>
        <scheme val="minor"/>
      </rPr>
      <t>（净长）</t>
    </r>
  </si>
  <si>
    <t>roi_line_hide</t>
  </si>
  <si>
    <t>0x7760147C</t>
  </si>
  <si>
    <t>水平行消隐，单位是clk_pix</t>
  </si>
  <si>
    <t>ROUNDUP(img_row_time*freq_pix_clk/1000,0)-Width/phy num/phy ch num</t>
  </si>
  <si>
    <t>trailer_size</t>
  </si>
  <si>
    <t>trailer长度（净长）</t>
  </si>
  <si>
    <t>F</t>
  </si>
  <si>
    <t>传输图像大小（净长）</t>
  </si>
  <si>
    <t>Height*Width*n，if pixel format = 8bit，n=1，else n=2</t>
  </si>
  <si>
    <t>图像+chunk大小（净长）</t>
  </si>
  <si>
    <t>image_size+32*chunk_mode_active</t>
  </si>
  <si>
    <t>残包大小（净长）</t>
  </si>
  <si>
    <t>if(incomplete_packet_size=0,0,1)</t>
  </si>
  <si>
    <t>经过最小包长判断之后的残包大小（净长）</t>
  </si>
  <si>
    <t>以太网传输leader包的大小（包含全部协议开销）</t>
  </si>
  <si>
    <t>以太网传输trailer包的大小（包含全部协议开销）</t>
  </si>
  <si>
    <t>eth_protocol_byte+header_in_payload+trailer_size</t>
  </si>
  <si>
    <t>以太网传输image和chunk的大小（包含全部协议开销）</t>
  </si>
  <si>
    <t>complete_packet_num*(GevSCPSPacketSize+eth_protocol_byte)+incomplete_packet_num*(incomplete_packet_size_min+eth_protocol_byte+header_in_payload)</t>
  </si>
  <si>
    <t>所有的帧间隔
（前导码和CRC校验已经在计算开销II时加过一次，这里只对最小帧间隔进行计算）</t>
  </si>
  <si>
    <t>(leader+trailer+incomplete_packet_num+complete_packet_num)*(GevSCPD,ifg_min)</t>
  </si>
  <si>
    <t>传输图像尺寸（包含全部协议开销与包间隔）</t>
  </si>
  <si>
    <t>byte/10s</t>
  </si>
  <si>
    <t>ROUNDUP(ROUNDUP(1000000*frame_size/eth_valid_bandwidth*10)</t>
  </si>
  <si>
    <t>Horizontal Binning</t>
  </si>
  <si>
    <t>Vertical Binning</t>
  </si>
  <si>
    <t>PixelFormat(8/10/10packed/12/12packed)</t>
  </si>
  <si>
    <t>SensorBitDepth</t>
  </si>
  <si>
    <t>Current parameter is not in the range [4, 'WidthMax'], please input again.</t>
  </si>
  <si>
    <t>Current parameter is not in the range [2, 'HeightMax'], please input again.</t>
  </si>
  <si>
    <t>Non-overlapping exposure</t>
  </si>
  <si>
    <t>ExposureTimeMode</t>
  </si>
  <si>
    <t>Standard</t>
  </si>
  <si>
    <t>fpga_platform</t>
  </si>
  <si>
    <t>FPGA平台</t>
  </si>
  <si>
    <t>A7-100T</t>
  </si>
  <si>
    <t>?</t>
  </si>
  <si>
    <t>MARS-138-95GM-P-TN-SWIR</t>
  </si>
  <si>
    <t>sensor固定参数</t>
  </si>
  <si>
    <t>3.port</t>
  </si>
  <si>
    <t xml:space="preserve">4.Master Clock </t>
  </si>
  <si>
    <t>13.hmax</t>
  </si>
  <si>
    <t>14.VBmin</t>
  </si>
  <si>
    <t>15.ExpIntMin</t>
  </si>
  <si>
    <t>16.tOFFSET</t>
  </si>
  <si>
    <t>17.tTGDLY</t>
  </si>
  <si>
    <t>18.Default ExposureTime</t>
  </si>
  <si>
    <t>19.Default FrameRate</t>
  </si>
  <si>
    <t>20.PixelFormat</t>
  </si>
  <si>
    <t>21.isp_ch_num</t>
  </si>
  <si>
    <t>22.Pix Clock</t>
  </si>
  <si>
    <t>parameter</t>
  </si>
  <si>
    <t>IMX990</t>
  </si>
  <si>
    <t>GIGE</t>
  </si>
  <si>
    <t>像素格式(8/10/12)</t>
  </si>
  <si>
    <t>Finck</t>
  </si>
  <si>
    <t>37.125 or 54 or 74.25 抖动幅度0.96~1.02</t>
  </si>
  <si>
    <t>1.需求
2.和sensor skip是否相关，还需确认
3.与像素格式相关
4.与触发模式相关</t>
  </si>
  <si>
    <t>IF(ExposureTimeMode="Ultra Short",MAX(readout_period_time,exp_period_time,fps_limit_period_time,tp_limit_period_time),IF(ExposureMode="TriggerWidth",ROUNDUP(MAX(readout_period_time,exp_period_triggerwidth,fps_limit_period_time)*J6/1000,0),ROUNDUP(MAX(readout_period_time,exp_period_time,fps_limit_period_time)*J6/1000,0)))</t>
  </si>
  <si>
    <t>直接对应sensor映射表中的值</t>
  </si>
  <si>
    <t>像素位深（8/10/12）</t>
  </si>
  <si>
    <t xml:space="preserve">PixelBitDepth </t>
  </si>
  <si>
    <t>1000000/tFrame</t>
  </si>
  <si>
    <r>
      <rPr>
        <sz val="11"/>
        <color theme="1"/>
        <rFont val="宋体"/>
        <family val="3"/>
        <charset val="134"/>
        <scheme val="minor"/>
      </rPr>
      <t xml:space="preserve">有效像素边界(手册Pixel Arrangement章节，图示)
</t>
    </r>
    <r>
      <rPr>
        <sz val="11"/>
        <color rgb="FFFF0000"/>
        <rFont val="宋体"/>
        <family val="3"/>
        <charset val="134"/>
        <scheme val="minor"/>
      </rPr>
      <t>实际预研结果，sensor skip不需要修改垂直高度和偏移</t>
    </r>
  </si>
  <si>
    <t>每行宽度(手册Readout Drive Modes章节，见表格，All pixel模式)</t>
  </si>
  <si>
    <t>非交叠曝光模式</t>
  </si>
  <si>
    <t>0（默认交叠曝光）</t>
  </si>
  <si>
    <r>
      <rPr>
        <sz val="11"/>
        <rFont val="宋体"/>
        <family val="3"/>
        <charset val="134"/>
        <scheme val="minor"/>
      </rPr>
      <t>IF(ExposureTimeMode="Ultra Short",ROUNDUP((Height+Vbmin</t>
    </r>
    <r>
      <rPr>
        <sz val="11"/>
        <color rgb="FFFF0000"/>
        <rFont val="宋体"/>
        <family val="3"/>
        <charset val="134"/>
        <scheme val="minor"/>
      </rPr>
      <t>+2</t>
    </r>
    <r>
      <rPr>
        <sz val="11"/>
        <rFont val="宋体"/>
        <family val="3"/>
        <charset val="134"/>
        <scheme val="minor"/>
      </rPr>
      <t>)*tRow/1000,0),</t>
    </r>
    <r>
      <rPr>
        <sz val="11"/>
        <color rgb="FFFF0000"/>
        <rFont val="宋体"/>
        <family val="3"/>
        <charset val="134"/>
        <scheme val="minor"/>
      </rPr>
      <t>IF(交叠，Height+Vbmin+exp_period_time,Height+Vbmin)</t>
    </r>
    <r>
      <rPr>
        <sz val="11"/>
        <rFont val="宋体"/>
        <family val="3"/>
        <charset val="134"/>
        <scheme val="minor"/>
      </rPr>
      <t>)</t>
    </r>
  </si>
  <si>
    <t>hmax（50MHz）</t>
  </si>
  <si>
    <t>每行宽度
(sensor_ctrl修改时钟为50Mhz，所以这里要换算)</t>
  </si>
  <si>
    <t>ROUNDUP(hmax/Finck*50*1000,0)</t>
  </si>
  <si>
    <t>曝光模式</t>
  </si>
  <si>
    <t>ExposureMode</t>
  </si>
  <si>
    <t>Timed</t>
  </si>
  <si>
    <t>IF(ExposureTimeMode="Ultra Short",xtrig_length+exp_delay_time+readout_time+20,exp_line_num+exp_delay_time+ExpIntMin)</t>
  </si>
  <si>
    <r>
      <rPr>
        <sz val="11"/>
        <color theme="1"/>
        <rFont val="宋体"/>
        <family val="3"/>
        <charset val="134"/>
        <scheme val="minor"/>
      </rPr>
      <t>最小帧消隐行数(手册Global Shutter (Sequential Trigger Mode) Operation章节，V</t>
    </r>
    <r>
      <rPr>
        <sz val="9"/>
        <color theme="1"/>
        <rFont val="宋体"/>
        <family val="3"/>
        <charset val="134"/>
        <scheme val="minor"/>
      </rPr>
      <t>TR公式</t>
    </r>
    <r>
      <rPr>
        <sz val="11"/>
        <color theme="1"/>
        <rFont val="宋体"/>
        <family val="3"/>
        <charset val="134"/>
        <scheme val="minor"/>
      </rPr>
      <t>最后一个参数)</t>
    </r>
  </si>
  <si>
    <t>ExposureOverlapTimeMax</t>
  </si>
  <si>
    <t>IF(ExposureTimeMode="Ultra Short",ROUNDUP(((100000/AcquisitionFrameRate))*AcquisitionFrameRateMode,0),ROUNDUP(((100000000/AcquisitionFrameRate)/tRow)*AcquisitionFrameRateMode,0))</t>
  </si>
  <si>
    <t>两次曝光间隔最小值(手册Global Shutter (Sequential Trigger Mode) Operation章节，表格Parameter List of Global Shutter中的tTGES+1)</t>
  </si>
  <si>
    <t>曝光时间模式</t>
  </si>
  <si>
    <t>bandwidth_limit_period_time
（在突发采集“standard”时，不考虑预留带宽,考虑满带宽;
在突发采集“highspeed”时，不考虑带宽）</t>
  </si>
  <si>
    <t>曝光时间误差(手册Global Shutter (Sequential Trigger Mode) Operation章节，Exposuretime[s]公式最后一个参数)</t>
  </si>
  <si>
    <t>phy_num</t>
  </si>
  <si>
    <t>sensor串行差分时钟的数量</t>
  </si>
  <si>
    <t>xtrig_length</t>
  </si>
  <si>
    <t>曝光信号实际长度</t>
  </si>
  <si>
    <t>IF(ExposureTimeMode="Ultra Short",IF(ExposureTime&gt;8,ROUNDUP((ExposureTime*1000-tOFFSET)/1000,0),1),MAX(ROUNDUP(((ExposureTime*1000-tOFFSET)/tRow),0),1))</t>
  </si>
  <si>
    <t>phy_ch_num</t>
  </si>
  <si>
    <t>每路sensor串行差分时钟对应的通道数</t>
  </si>
  <si>
    <t>TriggerWidth模式下触发信号长度（demo上没有此项设置，在调试时方便计算帧周期）</t>
  </si>
  <si>
    <t>TriggerWidthLength</t>
  </si>
  <si>
    <t>exp_delay_time</t>
  </si>
  <si>
    <t>IF(ExposureTimeMode="Ultra Short",ExposureDelay,ROUNDUP(((1000*ExposureDelay)/tRow),0))</t>
  </si>
  <si>
    <t>sensor_width_max</t>
  </si>
  <si>
    <t>sensor输出的宽度</t>
  </si>
  <si>
    <t>触发模式</t>
  </si>
  <si>
    <t>isp_ch_num</t>
  </si>
  <si>
    <t>数据通道处理通道数</t>
  </si>
  <si>
    <t>TriggerMode</t>
  </si>
  <si>
    <t>极小曝光时，闪光灯维持时间至少比曝光时间要展宽4us；普通曝光时，闪光灯维持时间至少比曝光时间要展宽4个行周期</t>
  </si>
  <si>
    <t>IF(ExposureTimeMode="Ultra Short",IF((exp_time+4))&gt;100us,(exp_time+4),100us),if((exp_time+4*tRow/1000))&gt;100us,(exp_time+4*tRow/1000),100us))</t>
  </si>
  <si>
    <t>clk_pix</t>
  </si>
  <si>
    <t>pix时钟</t>
  </si>
  <si>
    <t>突发采集模式</t>
  </si>
  <si>
    <t>AcquisitionBurstMode</t>
  </si>
  <si>
    <t>IF(ExposureTimeMode="Ultra Short",ROUNDUP((pic_height+11+tTGDLY)*tRow/1000,0),pic_height+11+tTGDLY)</t>
  </si>
  <si>
    <t>本单元格为了对齐标题行，无实际意义</t>
  </si>
  <si>
    <t>设置寄存器</t>
  </si>
  <si>
    <t>说明</t>
  </si>
  <si>
    <t>IF(ROUNDDOWN((1000000*eth_valid_bandwidth-(frame_packet_size+leader_packet_size+trailer_packet_size))/(complete_packet_num+incomplete_packet_num+2),0)-12&lt;180000,ROUNDDOWN((1000000*eth_valid_bandwidth-(frame_packet_size+leader_packet_size+trailer_packet_size))/(complete_packet_num+incomplete_packet_num+2),0)-12,180000)</t>
  </si>
  <si>
    <t>帧周期相关寄存器，固件重新计算帧周期之后，会将对应的寄存器重新设置给FPGA，最后再设置一次成组生效寄存器，成组生效寄存器有效之后，之前设置的寄存器才会生效</t>
  </si>
  <si>
    <t>序列控制</t>
  </si>
  <si>
    <t>TriggerWidth模式</t>
  </si>
  <si>
    <t>sonyimx_exposure_mode</t>
  </si>
  <si>
    <t xml:space="preserve">曝光模式控制寄存器
0:timed
1:trigger width
2:trigger </t>
  </si>
  <si>
    <t>0x01000850</t>
  </si>
  <si>
    <t>IF(ExposureMode="TriggerWidth",1,0)</t>
  </si>
  <si>
    <t>sequencer_configration_mode</t>
  </si>
  <si>
    <t>序列配置模式使能</t>
  </si>
  <si>
    <t>exp_overlaptime_maxline_num</t>
  </si>
  <si>
    <t>交叠曝光对应的行数</t>
  </si>
  <si>
    <t>MAX(INT(ExposureOverlapTimeMax*1000/tRow),1)</t>
  </si>
  <si>
    <t>sonyimx_overlap_time_max</t>
  </si>
  <si>
    <t>电平控制曝光模式下，预期交叠曝光时间控制寄存器，以行为单位</t>
  </si>
  <si>
    <t>0x01000854</t>
  </si>
  <si>
    <t>dec2hex(exp_overlaptime_maxline_num)</t>
  </si>
  <si>
    <t>exp_period_triggerwidth</t>
  </si>
  <si>
    <t>TriggerWidth模式下曝光时间决定的帧周期</t>
  </si>
  <si>
    <t xml:space="preserve">IF((TriggerMode=1)*(ExposureMode="TriggerWidth"),readout_period_time+IF(ROUNDUP((1000*TriggerWidthLength/tRow),0)&gt;exp_overlaptime_maxline_num,ROUNDUP((1000*TriggerWidthLength/tRow),0)-exp_overlaptime_maxline_num,0),"null")    </t>
  </si>
  <si>
    <t>trigger_interval_cont</t>
  </si>
  <si>
    <t>触发间隔寄存器-连续模式</t>
  </si>
  <si>
    <t>exp_time_triggerwidth</t>
  </si>
  <si>
    <t>TriggerWidth模式下实际曝光时间</t>
  </si>
  <si>
    <t xml:space="preserve">IF((TriggerMode=1)*(ExposureMode="TriggerWidth"),IF(TriggerWidthLength&gt;ExposureOverlapTimeMax,(ROUNDUP((1000*TriggerWidthLength/tRow),0)*tRow+tOFFSET)/1000,(ROUNDUP((1000*ExposureOverlapTimeMax/tRow),0)*tRow+tOFFSET)/1000),"null")        </t>
  </si>
  <si>
    <t>trigger_interval_trig</t>
  </si>
  <si>
    <t>触发间隔寄存器-触发模式</t>
  </si>
  <si>
    <t xml:space="preserve">trigger_interval_single </t>
  </si>
  <si>
    <t>触发间隔寄存器-单帧采集模式</t>
  </si>
  <si>
    <t>_</t>
  </si>
  <si>
    <t>寄存器成组生效标志，自清零</t>
  </si>
  <si>
    <t>sonyimx_sensor_mode</t>
  </si>
  <si>
    <t>sonyimx系列sensor工作模式
0-master模式
1-slave模式</t>
  </si>
  <si>
    <t>IF(ExposureMode="Ultra Short",0,1)</t>
  </si>
  <si>
    <t>sonyimx系列sensor工作模式寄存器，只能在停采期间设置</t>
  </si>
  <si>
    <t>exp_enable</t>
  </si>
  <si>
    <t>曝光使能信号，控制sensor工作在Ultra Short模式的时候是否可以开始曝光
0-可以曝光
1-不能曝光</t>
  </si>
  <si>
    <t xml:space="preserve">1、只有当sensor从其他曝光时间切换至Ultra Short模式的14us及以下时，先将该寄存器置0，然后查询完整帧标志，完整帧标志无效后，设置sensor的Ultra Short相关寄存器为对应曝光值，之后将该寄存器置1，完成曝光时间的设置
2、当sensor工作在其他曝光时间时，无论是Ultra Short模式的15-100us，还是工作在standard模式，该寄存器需要保持为1
</t>
  </si>
  <si>
    <t>chunk_size</t>
  </si>
  <si>
    <t>chunk大小</t>
  </si>
  <si>
    <t>大恒专用帧信息，a7系列为48byte</t>
  </si>
  <si>
    <t>sensor读出时间</t>
  </si>
  <si>
    <t>dec2hex(readout_period_time)</t>
  </si>
  <si>
    <t>读出时间寄存器，由于只在停采期间会发生改变，因此不用作生效时机控制</t>
  </si>
  <si>
    <r>
      <rPr>
        <sz val="11"/>
        <rFont val="宋体"/>
        <family val="3"/>
        <charset val="134"/>
        <scheme val="minor"/>
      </rPr>
      <t>Height*Width*n，if pixel format = 8bit，n=1; else if pixel format = 10/12bit,  n=2;  else if pixel format = 10p/12p,  n=1.5;</t>
    </r>
    <r>
      <rPr>
        <sz val="11"/>
        <color rgb="FFFF0000"/>
        <rFont val="宋体"/>
        <family val="3"/>
        <charset val="134"/>
        <scheme val="minor"/>
      </rPr>
      <t>(gige vision 2.0 packed)</t>
    </r>
  </si>
  <si>
    <t>packet_length</t>
  </si>
  <si>
    <t>正常包包长寄存器,仅payload部分，不包括ip、udp、gvsp头</t>
  </si>
  <si>
    <t>dec2hex(GevSCPSPacketSize-header_in_payload)</t>
  </si>
  <si>
    <t>上层修改包长之后，固件需要设置该寄存器给FPGA，只能停采期间设置</t>
  </si>
  <si>
    <t>FPGA Binning/Skipping</t>
  </si>
  <si>
    <t>可以分开设置</t>
  </si>
  <si>
    <t>packet_gap</t>
  </si>
  <si>
    <t>包间隔寄存器</t>
  </si>
  <si>
    <t>dec2hex(host_packet_gap)</t>
  </si>
  <si>
    <t>上层设置的包间隔以byte为单位</t>
  </si>
  <si>
    <t>水平Binning</t>
  </si>
  <si>
    <t>DEC2HEX((tRow-Width/isp_ch_num*1000000/clk_pix))/(1000000/clk_pix))</t>
  </si>
  <si>
    <t>PGI功能需要使用的行消隐寄存器，行消隐固定为最大宽度时的值，当Vbmin较小时也适用</t>
  </si>
  <si>
    <t>垂直Binning</t>
  </si>
  <si>
    <t>sensor_width</t>
  </si>
  <si>
    <t>sensor实际输出的图像宽度寄存器（skip由sensor实现）</t>
  </si>
  <si>
    <t>0x01100874</t>
  </si>
  <si>
    <t>dec2hex(sensor_width_max)</t>
  </si>
  <si>
    <t>IMX990 skip前固定输出1392列，skip后固定输出696列</t>
  </si>
  <si>
    <t>sensor skipping</t>
  </si>
  <si>
    <t>fast_burst_mode</t>
  </si>
  <si>
    <t>高帧率burst模式寄存器</t>
  </si>
  <si>
    <t>0x01500288</t>
  </si>
  <si>
    <t>dec2hex(fast_burst_mode)</t>
  </si>
  <si>
    <t>高帧率burst模式寄存器
0:高帧率burst模式关闭，为标准模式，burst中间帧帧周期为连续模式帧周期
1:高帧率burst模式开启，为高速模式，burst中间帧帧周期为触发模式帧周期</t>
  </si>
  <si>
    <t>水平Skipping（sensor）</t>
  </si>
  <si>
    <t>Horizontal Skipping（sensor）</t>
  </si>
  <si>
    <t>垂直Skipping（sensor）</t>
  </si>
  <si>
    <t>Vertical Skipping（sensor）</t>
  </si>
  <si>
    <t>IF(ExposureTimeMode="Ultra Short",ROUNDUP(frame_size/eth_valid_bandwidth*10,0),ROUNDUP(1000*frame_size/eth_valid_bandwidth*10/tRow))</t>
  </si>
  <si>
    <t>eth_valid_bandwidth_max</t>
  </si>
  <si>
    <t>最大以太网有效传输带宽，预留带宽为0，针对突发采集模式高速模式使用。</t>
  </si>
  <si>
    <t>int(link_speed*(100)*10/100/8)</t>
  </si>
  <si>
    <t>backend_limit_period_time_min</t>
  </si>
  <si>
    <t>最小后端传输限制的帧周期，预留带宽为0，针对突发采集模式高速模式使用。</t>
  </si>
  <si>
    <t>MARS-32-96GM-P-TN-SWIR</t>
  </si>
  <si>
    <t>IMX991</t>
  </si>
  <si>
    <t>1.0.13</t>
    <phoneticPr fontId="16" type="noConversion"/>
  </si>
  <si>
    <t>Added MARS_138_95GM_P_TN_SWIR frame rate calculation table</t>
    <phoneticPr fontId="16" type="noConversion"/>
  </si>
  <si>
    <r>
      <t>AddedMARS-033-262GM-P-TN-SWIR 、MARS</t>
    </r>
    <r>
      <rPr>
        <sz val="11"/>
        <color theme="1"/>
        <rFont val="宋体"/>
        <family val="3"/>
        <charset val="134"/>
        <scheme val="minor"/>
      </rPr>
      <t>-</t>
    </r>
    <r>
      <rPr>
        <sz val="11"/>
        <color theme="1"/>
        <rFont val="宋体"/>
        <family val="3"/>
        <charset val="134"/>
        <scheme val="minor"/>
      </rPr>
      <t>13</t>
    </r>
    <r>
      <rPr>
        <sz val="11"/>
        <color theme="1"/>
        <rFont val="宋体"/>
        <family val="3"/>
        <charset val="134"/>
        <scheme val="minor"/>
      </rPr>
      <t>8-</t>
    </r>
    <r>
      <rPr>
        <sz val="11"/>
        <color theme="1"/>
        <rFont val="宋体"/>
        <family val="3"/>
        <charset val="134"/>
        <scheme val="minor"/>
      </rPr>
      <t>95GM</t>
    </r>
    <r>
      <rPr>
        <sz val="11"/>
        <color theme="1"/>
        <rFont val="宋体"/>
        <family val="3"/>
        <charset val="134"/>
        <scheme val="minor"/>
      </rPr>
      <t>-</t>
    </r>
    <r>
      <rPr>
        <sz val="11"/>
        <color theme="1"/>
        <rFont val="宋体"/>
        <family val="3"/>
        <charset val="134"/>
        <scheme val="minor"/>
      </rPr>
      <t>P</t>
    </r>
    <r>
      <rPr>
        <sz val="11"/>
        <color theme="1"/>
        <rFont val="宋体"/>
        <family val="3"/>
        <charset val="134"/>
        <scheme val="minor"/>
      </rPr>
      <t>-</t>
    </r>
    <r>
      <rPr>
        <sz val="11"/>
        <color theme="1"/>
        <rFont val="宋体"/>
        <family val="3"/>
        <charset val="134"/>
        <scheme val="minor"/>
      </rPr>
      <t>TN</t>
    </r>
    <r>
      <rPr>
        <sz val="11"/>
        <color theme="1"/>
        <rFont val="宋体"/>
        <family val="3"/>
        <charset val="134"/>
        <scheme val="minor"/>
      </rPr>
      <t>-</t>
    </r>
    <r>
      <rPr>
        <sz val="11"/>
        <color theme="1"/>
        <rFont val="宋体"/>
        <family val="3"/>
        <charset val="134"/>
        <scheme val="minor"/>
      </rPr>
      <t>SWIR mono8 add sensorbitdepth 10.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</si>
</sst>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8">
    <font>
      <sz val="11"/>
      <color theme="1"/>
      <name val="宋体"/>
      <charset val="134"/>
      <scheme val="minor"/>
    </font>
    <font>
      <b/>
      <sz val="11"/>
      <color rgb="FFFFFF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FF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等线"/>
      <charset val="134"/>
    </font>
    <font>
      <sz val="11"/>
      <color rgb="FFFF0000"/>
      <name val="等线"/>
      <charset val="134"/>
    </font>
    <font>
      <b/>
      <sz val="11"/>
      <color theme="0"/>
      <name val="华文细黑"/>
      <family val="3"/>
      <charset val="134"/>
    </font>
    <font>
      <b/>
      <sz val="18"/>
      <color theme="0"/>
      <name val="华文细黑"/>
      <family val="3"/>
      <charset val="134"/>
    </font>
    <font>
      <b/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70091860713525"/>
        <bgColor indexed="64"/>
      </patternFill>
    </fill>
    <fill>
      <patternFill patternType="solid">
        <fgColor theme="8" tint="0.39967040009765925"/>
        <bgColor indexed="64"/>
      </patternFill>
    </fill>
    <fill>
      <patternFill patternType="solid">
        <fgColor theme="5" tint="0.39970091860713525"/>
        <bgColor indexed="64"/>
      </patternFill>
    </fill>
    <fill>
      <patternFill patternType="solid">
        <fgColor theme="8" tint="0.39970091860713525"/>
        <bgColor indexed="64"/>
      </patternFill>
    </fill>
    <fill>
      <patternFill patternType="solid">
        <fgColor theme="7" tint="0.39970091860713525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>
      <alignment vertical="center"/>
    </xf>
  </cellStyleXfs>
  <cellXfs count="296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1" fillId="2" borderId="1" xfId="5" applyFont="1" applyFill="1" applyBorder="1" applyAlignment="1">
      <alignment horizontal="left" vertical="center" wrapText="1"/>
    </xf>
    <xf numFmtId="0" fontId="1" fillId="2" borderId="1" xfId="5" applyFont="1" applyFill="1" applyBorder="1" applyAlignment="1" applyProtection="1">
      <alignment horizontal="left" vertical="center" wrapText="1"/>
      <protection locked="0"/>
    </xf>
    <xf numFmtId="0" fontId="1" fillId="2" borderId="1" xfId="3" applyFont="1" applyFill="1" applyBorder="1">
      <alignment vertical="center"/>
    </xf>
    <xf numFmtId="0" fontId="1" fillId="2" borderId="1" xfId="3" applyFont="1" applyFill="1" applyBorder="1" applyAlignment="1">
      <alignment horizontal="left" vertical="center"/>
    </xf>
    <xf numFmtId="0" fontId="1" fillId="2" borderId="1" xfId="3" applyFont="1" applyFill="1" applyBorder="1" applyAlignment="1" applyProtection="1">
      <alignment horizontal="left" vertical="center" wrapText="1"/>
      <protection locked="0"/>
    </xf>
    <xf numFmtId="0" fontId="2" fillId="0" borderId="0" xfId="0" applyFont="1">
      <alignment vertical="center"/>
    </xf>
    <xf numFmtId="0" fontId="1" fillId="2" borderId="1" xfId="3" applyFont="1" applyFill="1" applyBorder="1" applyAlignment="1" applyProtection="1">
      <alignment horizontal="left"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left" vertical="center" wrapText="1"/>
      <protection locked="0"/>
    </xf>
    <xf numFmtId="0" fontId="1" fillId="2" borderId="1" xfId="3" applyFont="1" applyFill="1" applyBorder="1" applyAlignment="1">
      <alignment horizontal="left" vertical="center" wrapText="1"/>
    </xf>
    <xf numFmtId="0" fontId="11" fillId="0" borderId="0" xfId="3">
      <alignment vertical="center"/>
    </xf>
    <xf numFmtId="0" fontId="4" fillId="2" borderId="1" xfId="5" applyFont="1" applyFill="1" applyBorder="1" applyAlignment="1">
      <alignment horizontal="left" vertical="center" wrapText="1"/>
    </xf>
    <xf numFmtId="176" fontId="4" fillId="2" borderId="1" xfId="3" applyNumberFormat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/>
    </xf>
    <xf numFmtId="0" fontId="0" fillId="0" borderId="0" xfId="0" applyAlignment="1"/>
    <xf numFmtId="0" fontId="0" fillId="6" borderId="9" xfId="0" applyFill="1" applyBorder="1" applyAlignment="1">
      <alignment horizontal="left" vertical="center" wrapText="1"/>
    </xf>
    <xf numFmtId="0" fontId="0" fillId="6" borderId="1" xfId="0" applyFill="1" applyBorder="1" applyAlignment="1">
      <alignment vertical="center" wrapText="1"/>
    </xf>
    <xf numFmtId="0" fontId="0" fillId="7" borderId="19" xfId="0" applyFill="1" applyBorder="1" applyAlignment="1">
      <alignment vertical="center" wrapText="1"/>
    </xf>
    <xf numFmtId="0" fontId="0" fillId="6" borderId="19" xfId="0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7" fontId="5" fillId="8" borderId="1" xfId="0" applyNumberFormat="1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5" fillId="10" borderId="19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5" fillId="10" borderId="20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2" applyFont="1" applyBorder="1" applyAlignment="1">
      <alignment vertical="center"/>
    </xf>
    <xf numFmtId="0" fontId="5" fillId="0" borderId="1" xfId="2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2" applyFont="1" applyBorder="1" applyAlignment="1">
      <alignment vertical="center" wrapText="1"/>
    </xf>
    <xf numFmtId="0" fontId="5" fillId="0" borderId="22" xfId="0" applyFont="1" applyBorder="1" applyAlignment="1">
      <alignment horizontal="left" vertical="center" wrapText="1"/>
    </xf>
    <xf numFmtId="0" fontId="5" fillId="8" borderId="22" xfId="0" applyFont="1" applyFill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7" fillId="12" borderId="15" xfId="0" applyFont="1" applyFill="1" applyBorder="1" applyAlignment="1">
      <alignment horizontal="left" vertical="center" wrapText="1"/>
    </xf>
    <xf numFmtId="0" fontId="7" fillId="10" borderId="25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5" fillId="6" borderId="29" xfId="0" applyFont="1" applyFill="1" applyBorder="1" applyAlignment="1">
      <alignment horizontal="left" vertical="center" wrapText="1"/>
    </xf>
    <xf numFmtId="0" fontId="0" fillId="7" borderId="19" xfId="0" applyFill="1" applyBorder="1" applyAlignment="1">
      <alignment horizontal="left" vertical="center" wrapText="1"/>
    </xf>
    <xf numFmtId="0" fontId="5" fillId="10" borderId="21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" fillId="14" borderId="9" xfId="0" applyFont="1" applyFill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5" fillId="14" borderId="9" xfId="0" applyNumberFormat="1" applyFont="1" applyFill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/>
    </xf>
    <xf numFmtId="0" fontId="5" fillId="6" borderId="16" xfId="0" applyFont="1" applyFill="1" applyBorder="1" applyAlignment="1">
      <alignment horizontal="left" vertical="center" wrapText="1"/>
    </xf>
    <xf numFmtId="0" fontId="5" fillId="10" borderId="22" xfId="0" applyFont="1" applyFill="1" applyBorder="1" applyAlignment="1">
      <alignment horizontal="left" vertical="center" wrapText="1"/>
    </xf>
    <xf numFmtId="0" fontId="2" fillId="10" borderId="22" xfId="0" applyFont="1" applyFill="1" applyBorder="1" applyAlignment="1">
      <alignment horizontal="left" vertical="center" wrapText="1"/>
    </xf>
    <xf numFmtId="0" fontId="5" fillId="13" borderId="2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13" borderId="0" xfId="0" applyFont="1" applyFill="1" applyAlignment="1">
      <alignment horizontal="left" vertical="center" wrapText="1"/>
    </xf>
    <xf numFmtId="0" fontId="5" fillId="15" borderId="19" xfId="0" applyFont="1" applyFill="1" applyBorder="1" applyAlignment="1">
      <alignment horizontal="left" vertical="center" wrapText="1"/>
    </xf>
    <xf numFmtId="0" fontId="5" fillId="14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15" borderId="19" xfId="0" applyFont="1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 wrapText="1"/>
    </xf>
    <xf numFmtId="0" fontId="2" fillId="13" borderId="22" xfId="0" applyFont="1" applyFill="1" applyBorder="1" applyAlignment="1">
      <alignment horizontal="left" vertical="center" wrapText="1"/>
    </xf>
    <xf numFmtId="0" fontId="5" fillId="6" borderId="31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5" fillId="10" borderId="32" xfId="0" applyFont="1" applyFill="1" applyBorder="1" applyAlignment="1">
      <alignment horizontal="left" vertical="center" wrapText="1"/>
    </xf>
    <xf numFmtId="0" fontId="5" fillId="10" borderId="23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9" fillId="16" borderId="21" xfId="0" applyFont="1" applyFill="1" applyBorder="1">
      <alignment vertical="center"/>
    </xf>
    <xf numFmtId="0" fontId="5" fillId="9" borderId="22" xfId="0" applyFont="1" applyFill="1" applyBorder="1" applyAlignment="1">
      <alignment horizontal="left" vertical="center" wrapText="1"/>
    </xf>
    <xf numFmtId="0" fontId="0" fillId="9" borderId="1" xfId="0" applyFill="1" applyBorder="1" applyAlignment="1">
      <alignment horizontal="left" vertical="center" wrapText="1"/>
    </xf>
    <xf numFmtId="0" fontId="0" fillId="10" borderId="19" xfId="0" applyFill="1" applyBorder="1" applyAlignment="1">
      <alignment horizontal="left" vertical="center" wrapText="1"/>
    </xf>
    <xf numFmtId="0" fontId="0" fillId="9" borderId="22" xfId="0" applyFill="1" applyBorder="1" applyAlignment="1">
      <alignment horizontal="left" vertical="center" wrapText="1"/>
    </xf>
    <xf numFmtId="0" fontId="0" fillId="10" borderId="23" xfId="0" applyFill="1" applyBorder="1" applyAlignment="1">
      <alignment horizontal="left" vertical="center" wrapText="1"/>
    </xf>
    <xf numFmtId="49" fontId="0" fillId="0" borderId="21" xfId="0" applyNumberFormat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/>
    </xf>
    <xf numFmtId="0" fontId="5" fillId="0" borderId="29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8" borderId="16" xfId="0" applyFont="1" applyFill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0" fillId="13" borderId="22" xfId="0" applyFill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0" fillId="8" borderId="22" xfId="0" applyFill="1" applyBorder="1" applyAlignment="1">
      <alignment horizontal="left" vertical="center" wrapText="1"/>
    </xf>
    <xf numFmtId="0" fontId="2" fillId="15" borderId="23" xfId="0" applyFont="1" applyFill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11" fillId="0" borderId="0" xfId="4" applyAlignment="1">
      <alignment horizontal="left" vertical="center" wrapText="1"/>
    </xf>
    <xf numFmtId="0" fontId="2" fillId="0" borderId="0" xfId="4" applyFont="1" applyAlignment="1">
      <alignment horizontal="left" vertical="center"/>
    </xf>
    <xf numFmtId="0" fontId="4" fillId="2" borderId="1" xfId="3" applyFont="1" applyFill="1" applyBorder="1" applyAlignment="1">
      <alignment horizontal="left" vertical="center" wrapText="1"/>
    </xf>
    <xf numFmtId="0" fontId="11" fillId="0" borderId="0" xfId="4"/>
    <xf numFmtId="0" fontId="3" fillId="3" borderId="2" xfId="3" applyFont="1" applyFill="1" applyBorder="1" applyAlignment="1">
      <alignment vertical="center" wrapText="1"/>
    </xf>
    <xf numFmtId="0" fontId="3" fillId="4" borderId="2" xfId="3" applyFont="1" applyFill="1" applyBorder="1" applyAlignment="1">
      <alignment horizontal="left" vertical="center" wrapText="1"/>
    </xf>
    <xf numFmtId="0" fontId="11" fillId="0" borderId="0" xfId="3" applyAlignment="1">
      <alignment wrapText="1"/>
    </xf>
    <xf numFmtId="0" fontId="11" fillId="18" borderId="9" xfId="3" applyFill="1" applyBorder="1" applyAlignment="1">
      <alignment horizontal="left" vertical="center" wrapText="1"/>
    </xf>
    <xf numFmtId="0" fontId="11" fillId="18" borderId="1" xfId="3" applyFill="1" applyBorder="1" applyAlignment="1">
      <alignment horizontal="left" vertical="center" wrapText="1"/>
    </xf>
    <xf numFmtId="0" fontId="11" fillId="18" borderId="19" xfId="3" applyFill="1" applyBorder="1" applyAlignment="1">
      <alignment horizontal="left" vertical="center" wrapText="1"/>
    </xf>
    <xf numFmtId="0" fontId="11" fillId="0" borderId="9" xfId="3" applyBorder="1" applyAlignment="1">
      <alignment horizontal="left" vertical="center" wrapText="1"/>
    </xf>
    <xf numFmtId="0" fontId="11" fillId="0" borderId="1" xfId="3" applyBorder="1" applyAlignment="1">
      <alignment horizontal="left" vertical="center" wrapText="1"/>
    </xf>
    <xf numFmtId="0" fontId="11" fillId="19" borderId="1" xfId="3" applyFill="1" applyBorder="1" applyAlignment="1">
      <alignment horizontal="left" vertical="center" wrapText="1"/>
    </xf>
    <xf numFmtId="0" fontId="11" fillId="10" borderId="19" xfId="3" applyFill="1" applyBorder="1" applyAlignment="1">
      <alignment horizontal="left" vertical="center" wrapText="1"/>
    </xf>
    <xf numFmtId="0" fontId="5" fillId="10" borderId="19" xfId="3" applyFont="1" applyFill="1" applyBorder="1" applyAlignment="1">
      <alignment horizontal="left" vertical="center" wrapText="1"/>
    </xf>
    <xf numFmtId="0" fontId="5" fillId="0" borderId="9" xfId="3" applyFont="1" applyBorder="1" applyAlignment="1">
      <alignment horizontal="left" vertical="center" wrapText="1"/>
    </xf>
    <xf numFmtId="0" fontId="5" fillId="0" borderId="1" xfId="3" applyFont="1" applyBorder="1" applyAlignment="1">
      <alignment horizontal="left" vertical="center" wrapText="1"/>
    </xf>
    <xf numFmtId="0" fontId="5" fillId="19" borderId="1" xfId="3" applyFont="1" applyFill="1" applyBorder="1" applyAlignment="1">
      <alignment horizontal="left" vertical="center" wrapText="1"/>
    </xf>
    <xf numFmtId="0" fontId="5" fillId="0" borderId="1" xfId="3" applyFont="1" applyBorder="1" applyAlignment="1">
      <alignment horizontal="left" vertical="center"/>
    </xf>
    <xf numFmtId="0" fontId="11" fillId="0" borderId="0" xfId="3" applyAlignment="1"/>
    <xf numFmtId="0" fontId="11" fillId="0" borderId="35" xfId="3" applyBorder="1" applyAlignment="1">
      <alignment horizontal="left" vertical="center" wrapText="1"/>
    </xf>
    <xf numFmtId="0" fontId="11" fillId="0" borderId="36" xfId="3" applyBorder="1" applyAlignment="1">
      <alignment horizontal="left" vertical="center" wrapText="1"/>
    </xf>
    <xf numFmtId="0" fontId="11" fillId="19" borderId="36" xfId="3" applyFill="1" applyBorder="1" applyAlignment="1">
      <alignment horizontal="left" vertical="center" wrapText="1"/>
    </xf>
    <xf numFmtId="0" fontId="11" fillId="10" borderId="37" xfId="3" applyFill="1" applyBorder="1" applyAlignment="1">
      <alignment horizontal="left" vertical="center" wrapText="1"/>
    </xf>
    <xf numFmtId="0" fontId="11" fillId="0" borderId="0" xfId="3" applyAlignment="1">
      <alignment horizontal="left" vertical="center" wrapText="1"/>
    </xf>
    <xf numFmtId="0" fontId="11" fillId="18" borderId="9" xfId="3" applyFill="1" applyBorder="1" applyAlignment="1">
      <alignment vertical="center" wrapText="1"/>
    </xf>
    <xf numFmtId="0" fontId="11" fillId="18" borderId="1" xfId="3" applyFill="1" applyBorder="1" applyAlignment="1">
      <alignment vertical="center" wrapText="1"/>
    </xf>
    <xf numFmtId="0" fontId="11" fillId="20" borderId="19" xfId="3" applyFill="1" applyBorder="1" applyAlignment="1">
      <alignment vertical="center" wrapText="1"/>
    </xf>
    <xf numFmtId="0" fontId="5" fillId="21" borderId="1" xfId="3" applyFont="1" applyFill="1" applyBorder="1" applyAlignment="1">
      <alignment horizontal="left" vertical="center" wrapText="1"/>
    </xf>
    <xf numFmtId="2" fontId="5" fillId="21" borderId="1" xfId="3" applyNumberFormat="1" applyFont="1" applyFill="1" applyBorder="1" applyAlignment="1">
      <alignment horizontal="left" vertical="center" wrapText="1"/>
    </xf>
    <xf numFmtId="0" fontId="11" fillId="0" borderId="19" xfId="3" applyBorder="1" applyAlignment="1">
      <alignment horizontal="left" vertical="center"/>
    </xf>
    <xf numFmtId="0" fontId="11" fillId="21" borderId="1" xfId="3" applyFill="1" applyBorder="1" applyAlignment="1">
      <alignment horizontal="left" vertical="center" wrapText="1"/>
    </xf>
    <xf numFmtId="0" fontId="11" fillId="0" borderId="19" xfId="3" applyBorder="1" applyAlignment="1">
      <alignment horizontal="left" vertical="center" wrapText="1"/>
    </xf>
    <xf numFmtId="0" fontId="5" fillId="0" borderId="19" xfId="3" applyFont="1" applyBorder="1" applyAlignment="1">
      <alignment horizontal="left" vertical="center"/>
    </xf>
    <xf numFmtId="0" fontId="5" fillId="0" borderId="19" xfId="3" applyFont="1" applyBorder="1" applyAlignment="1">
      <alignment horizontal="left" vertical="center" wrapText="1"/>
    </xf>
    <xf numFmtId="0" fontId="5" fillId="0" borderId="9" xfId="3" applyFont="1" applyBorder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21" xfId="3" applyFont="1" applyBorder="1" applyAlignment="1">
      <alignment vertical="center" wrapText="1"/>
    </xf>
    <xf numFmtId="0" fontId="5" fillId="0" borderId="22" xfId="1" applyFont="1" applyBorder="1" applyAlignment="1">
      <alignment vertical="center" wrapText="1"/>
    </xf>
    <xf numFmtId="0" fontId="5" fillId="0" borderId="22" xfId="3" applyFont="1" applyBorder="1" applyAlignment="1">
      <alignment horizontal="left" vertical="center" wrapText="1"/>
    </xf>
    <xf numFmtId="0" fontId="5" fillId="21" borderId="22" xfId="3" applyFont="1" applyFill="1" applyBorder="1" applyAlignment="1">
      <alignment horizontal="left" vertical="center" wrapText="1"/>
    </xf>
    <xf numFmtId="0" fontId="5" fillId="0" borderId="23" xfId="3" applyFont="1" applyBorder="1" applyAlignment="1">
      <alignment horizontal="left" vertical="center" wrapText="1"/>
    </xf>
    <xf numFmtId="0" fontId="2" fillId="18" borderId="29" xfId="3" applyFont="1" applyFill="1" applyBorder="1" applyAlignment="1">
      <alignment horizontal="left" vertical="center" wrapText="1"/>
    </xf>
    <xf numFmtId="0" fontId="2" fillId="18" borderId="16" xfId="3" applyFont="1" applyFill="1" applyBorder="1" applyAlignment="1">
      <alignment horizontal="left" vertical="center" wrapText="1"/>
    </xf>
    <xf numFmtId="0" fontId="11" fillId="20" borderId="19" xfId="3" applyFill="1" applyBorder="1" applyAlignment="1">
      <alignment horizontal="left" vertical="center" wrapText="1"/>
    </xf>
    <xf numFmtId="0" fontId="2" fillId="0" borderId="21" xfId="3" applyFont="1" applyBorder="1" applyAlignment="1">
      <alignment horizontal="left" vertical="center" wrapText="1"/>
    </xf>
    <xf numFmtId="0" fontId="2" fillId="0" borderId="22" xfId="3" applyFont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49" fontId="11" fillId="0" borderId="9" xfId="3" applyNumberFormat="1" applyBorder="1" applyAlignment="1">
      <alignment horizontal="left" vertical="center" wrapText="1"/>
    </xf>
    <xf numFmtId="49" fontId="11" fillId="0" borderId="1" xfId="3" applyNumberFormat="1" applyBorder="1" applyAlignment="1">
      <alignment horizontal="left" vertical="center" wrapText="1"/>
    </xf>
    <xf numFmtId="49" fontId="11" fillId="0" borderId="35" xfId="3" applyNumberFormat="1" applyBorder="1" applyAlignment="1">
      <alignment vertical="center" wrapText="1"/>
    </xf>
    <xf numFmtId="49" fontId="5" fillId="0" borderId="9" xfId="3" applyNumberFormat="1" applyFont="1" applyBorder="1" applyAlignment="1">
      <alignment horizontal="left" vertical="center" wrapText="1"/>
    </xf>
    <xf numFmtId="0" fontId="2" fillId="10" borderId="22" xfId="3" applyFont="1" applyFill="1" applyBorder="1" applyAlignment="1">
      <alignment horizontal="left" vertical="center" wrapText="1"/>
    </xf>
    <xf numFmtId="0" fontId="2" fillId="10" borderId="0" xfId="3" applyFont="1" applyFill="1" applyAlignment="1">
      <alignment horizontal="left" vertical="center" wrapText="1"/>
    </xf>
    <xf numFmtId="0" fontId="11" fillId="0" borderId="0" xfId="3" applyAlignment="1">
      <alignment horizontal="left" vertical="center"/>
    </xf>
    <xf numFmtId="0" fontId="5" fillId="0" borderId="0" xfId="3" applyFont="1" applyAlignment="1">
      <alignment horizontal="left" vertical="center" wrapText="1"/>
    </xf>
    <xf numFmtId="0" fontId="5" fillId="0" borderId="37" xfId="3" applyFont="1" applyBorder="1" applyAlignment="1">
      <alignment vertical="center" wrapText="1"/>
    </xf>
    <xf numFmtId="0" fontId="2" fillId="18" borderId="41" xfId="3" applyFont="1" applyFill="1" applyBorder="1" applyAlignment="1">
      <alignment horizontal="left" vertical="center" wrapText="1"/>
    </xf>
    <xf numFmtId="0" fontId="2" fillId="0" borderId="22" xfId="3" applyFont="1" applyBorder="1" applyAlignment="1">
      <alignment horizontal="left" vertical="center"/>
    </xf>
    <xf numFmtId="0" fontId="2" fillId="0" borderId="42" xfId="3" applyFont="1" applyBorder="1" applyAlignment="1">
      <alignment horizontal="left" vertical="center" wrapText="1"/>
    </xf>
    <xf numFmtId="0" fontId="2" fillId="0" borderId="0" xfId="3" applyFont="1" applyAlignment="1">
      <alignment horizontal="left" vertical="center"/>
    </xf>
    <xf numFmtId="0" fontId="2" fillId="18" borderId="18" xfId="3" applyFont="1" applyFill="1" applyBorder="1" applyAlignment="1">
      <alignment horizontal="left" vertical="center" wrapText="1"/>
    </xf>
    <xf numFmtId="0" fontId="2" fillId="0" borderId="23" xfId="3" applyFont="1" applyBorder="1" applyAlignment="1">
      <alignment horizontal="left" vertical="center" wrapText="1"/>
    </xf>
    <xf numFmtId="0" fontId="11" fillId="0" borderId="21" xfId="3" applyBorder="1" applyAlignment="1">
      <alignment horizontal="left" vertical="center" wrapText="1"/>
    </xf>
    <xf numFmtId="0" fontId="11" fillId="0" borderId="22" xfId="3" applyBorder="1" applyAlignment="1">
      <alignment horizontal="left" vertical="center" wrapText="1"/>
    </xf>
    <xf numFmtId="0" fontId="11" fillId="10" borderId="23" xfId="3" applyFill="1" applyBorder="1" applyAlignment="1">
      <alignment horizontal="left" vertical="center" wrapText="1"/>
    </xf>
    <xf numFmtId="0" fontId="9" fillId="16" borderId="21" xfId="3" applyFont="1" applyFill="1" applyBorder="1">
      <alignment vertical="center"/>
    </xf>
    <xf numFmtId="0" fontId="5" fillId="0" borderId="21" xfId="3" applyFont="1" applyBorder="1" applyAlignment="1">
      <alignment horizontal="left" vertical="center" wrapText="1"/>
    </xf>
    <xf numFmtId="49" fontId="11" fillId="0" borderId="21" xfId="3" applyNumberFormat="1" applyBorder="1" applyAlignment="1">
      <alignment horizontal="left" vertical="center" wrapText="1"/>
    </xf>
    <xf numFmtId="49" fontId="11" fillId="0" borderId="22" xfId="3" applyNumberFormat="1" applyBorder="1" applyAlignment="1">
      <alignment horizontal="left" vertical="center" wrapText="1"/>
    </xf>
    <xf numFmtId="0" fontId="11" fillId="21" borderId="1" xfId="3" applyFill="1" applyBorder="1" applyAlignment="1">
      <alignment horizontal="left" vertical="center"/>
    </xf>
    <xf numFmtId="0" fontId="5" fillId="21" borderId="1" xfId="3" applyFont="1" applyFill="1" applyBorder="1" applyAlignment="1">
      <alignment horizontal="left" vertical="center"/>
    </xf>
    <xf numFmtId="0" fontId="5" fillId="10" borderId="23" xfId="3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Protection="1">
      <alignment vertical="center"/>
      <protection locked="0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4" fillId="2" borderId="1" xfId="0" applyFont="1" applyFill="1" applyBorder="1">
      <alignment vertical="center"/>
    </xf>
    <xf numFmtId="0" fontId="10" fillId="0" borderId="0" xfId="0" applyFont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left" vertical="center" wrapText="1"/>
    </xf>
    <xf numFmtId="0" fontId="0" fillId="6" borderId="9" xfId="0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9" borderId="19" xfId="0" applyFill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9" borderId="20" xfId="0" applyFill="1" applyBorder="1" applyAlignment="1">
      <alignment horizontal="left" vertical="center" wrapText="1"/>
    </xf>
    <xf numFmtId="0" fontId="0" fillId="9" borderId="23" xfId="0" applyFill="1" applyBorder="1" applyAlignment="1">
      <alignment horizontal="left" vertical="center" wrapText="1"/>
    </xf>
    <xf numFmtId="0" fontId="2" fillId="0" borderId="1" xfId="2" applyFont="1" applyBorder="1" applyAlignment="1">
      <alignment vertical="center"/>
    </xf>
    <xf numFmtId="0" fontId="2" fillId="0" borderId="21" xfId="0" applyFont="1" applyBorder="1" applyAlignment="1">
      <alignment vertical="center" wrapText="1"/>
    </xf>
    <xf numFmtId="0" fontId="2" fillId="0" borderId="22" xfId="2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/>
    </xf>
    <xf numFmtId="0" fontId="2" fillId="0" borderId="9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3" xfId="0" applyFont="1" applyBorder="1" applyAlignment="1">
      <alignment vertical="center" wrapText="1"/>
    </xf>
    <xf numFmtId="0" fontId="2" fillId="0" borderId="44" xfId="0" applyFont="1" applyBorder="1" applyAlignment="1">
      <alignment horizontal="left" vertical="center"/>
    </xf>
    <xf numFmtId="0" fontId="0" fillId="7" borderId="19" xfId="0" applyFill="1" applyBorder="1" applyAlignment="1">
      <alignment wrapText="1"/>
    </xf>
    <xf numFmtId="177" fontId="0" fillId="8" borderId="1" xfId="0" applyNumberForma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177" fontId="2" fillId="8" borderId="1" xfId="0" applyNumberFormat="1" applyFont="1" applyFill="1" applyBorder="1" applyAlignment="1">
      <alignment horizontal="left" vertical="center" wrapText="1"/>
    </xf>
    <xf numFmtId="0" fontId="2" fillId="8" borderId="22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8" borderId="36" xfId="0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5" fillId="2" borderId="19" xfId="0" applyFont="1" applyFill="1" applyBorder="1" applyAlignment="1">
      <alignment vertical="center" wrapText="1"/>
    </xf>
    <xf numFmtId="49" fontId="0" fillId="0" borderId="16" xfId="0" applyNumberFormat="1" applyBorder="1" applyAlignment="1">
      <alignment horizontal="left" vertical="center" wrapText="1"/>
    </xf>
    <xf numFmtId="0" fontId="0" fillId="8" borderId="19" xfId="0" applyFill="1" applyBorder="1" applyAlignment="1">
      <alignment horizontal="left" vertical="center" wrapText="1"/>
    </xf>
    <xf numFmtId="0" fontId="2" fillId="8" borderId="19" xfId="0" applyFont="1" applyFill="1" applyBorder="1" applyAlignment="1">
      <alignment horizontal="left" vertical="center" wrapText="1"/>
    </xf>
    <xf numFmtId="0" fontId="0" fillId="8" borderId="23" xfId="0" applyFill="1" applyBorder="1" applyAlignment="1">
      <alignment horizontal="left" vertical="center" wrapText="1"/>
    </xf>
    <xf numFmtId="0" fontId="0" fillId="10" borderId="1" xfId="0" applyFill="1" applyBorder="1">
      <alignment vertical="center"/>
    </xf>
    <xf numFmtId="14" fontId="0" fillId="0" borderId="1" xfId="0" applyNumberForma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49" fontId="0" fillId="0" borderId="36" xfId="0" applyNumberFormat="1" applyBorder="1" applyAlignment="1">
      <alignment horizontal="left" vertical="center" wrapText="1"/>
    </xf>
    <xf numFmtId="49" fontId="0" fillId="0" borderId="16" xfId="0" applyNumberFormat="1" applyBorder="1" applyAlignment="1">
      <alignment horizontal="left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8" fillId="16" borderId="17" xfId="3" applyFont="1" applyFill="1" applyBorder="1" applyAlignment="1">
      <alignment horizontal="left" vertical="center"/>
    </xf>
    <xf numFmtId="0" fontId="8" fillId="16" borderId="6" xfId="3" applyFont="1" applyFill="1" applyBorder="1" applyAlignment="1">
      <alignment horizontal="left" vertical="center"/>
    </xf>
    <xf numFmtId="0" fontId="8" fillId="16" borderId="18" xfId="3" applyFont="1" applyFill="1" applyBorder="1" applyAlignment="1">
      <alignment horizontal="left" vertical="center"/>
    </xf>
    <xf numFmtId="0" fontId="9" fillId="16" borderId="22" xfId="3" applyFont="1" applyFill="1" applyBorder="1" applyAlignment="1">
      <alignment horizontal="left" vertical="center"/>
    </xf>
    <xf numFmtId="176" fontId="9" fillId="16" borderId="22" xfId="3" applyNumberFormat="1" applyFont="1" applyFill="1" applyBorder="1" applyAlignment="1">
      <alignment horizontal="left" vertical="center"/>
    </xf>
    <xf numFmtId="176" fontId="9" fillId="16" borderId="23" xfId="3" applyNumberFormat="1" applyFont="1" applyFill="1" applyBorder="1" applyAlignment="1">
      <alignment horizontal="left" vertical="center"/>
    </xf>
    <xf numFmtId="0" fontId="5" fillId="2" borderId="38" xfId="3" applyFont="1" applyFill="1" applyBorder="1" applyAlignment="1">
      <alignment horizontal="center" vertical="center" wrapText="1"/>
    </xf>
    <xf numFmtId="0" fontId="5" fillId="2" borderId="39" xfId="3" applyFont="1" applyFill="1" applyBorder="1" applyAlignment="1">
      <alignment horizontal="center" vertical="center" wrapText="1"/>
    </xf>
    <xf numFmtId="0" fontId="5" fillId="2" borderId="40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19" xfId="3" applyFont="1" applyFill="1" applyBorder="1" applyAlignment="1">
      <alignment horizontal="center" vertical="center" wrapText="1"/>
    </xf>
    <xf numFmtId="0" fontId="3" fillId="17" borderId="17" xfId="3" applyFont="1" applyFill="1" applyBorder="1" applyAlignment="1">
      <alignment horizontal="center" vertical="center" wrapText="1"/>
    </xf>
    <xf numFmtId="0" fontId="3" fillId="17" borderId="6" xfId="3" applyFont="1" applyFill="1" applyBorder="1" applyAlignment="1">
      <alignment horizontal="center" vertical="center" wrapText="1"/>
    </xf>
    <xf numFmtId="0" fontId="3" fillId="17" borderId="18" xfId="3" applyFont="1" applyFill="1" applyBorder="1" applyAlignment="1">
      <alignment horizontal="center" vertical="center" wrapText="1"/>
    </xf>
    <xf numFmtId="0" fontId="3" fillId="17" borderId="12" xfId="3" applyFont="1" applyFill="1" applyBorder="1" applyAlignment="1">
      <alignment horizontal="center" vertical="center" wrapText="1"/>
    </xf>
    <xf numFmtId="0" fontId="3" fillId="17" borderId="13" xfId="3" applyFont="1" applyFill="1" applyBorder="1" applyAlignment="1">
      <alignment horizontal="center" vertical="center" wrapText="1"/>
    </xf>
    <xf numFmtId="0" fontId="3" fillId="17" borderId="24" xfId="3" applyFont="1" applyFill="1" applyBorder="1" applyAlignment="1">
      <alignment horizontal="center" vertical="center" wrapText="1"/>
    </xf>
    <xf numFmtId="0" fontId="9" fillId="16" borderId="22" xfId="0" applyFont="1" applyFill="1" applyBorder="1" applyAlignment="1">
      <alignment horizontal="left" vertical="center"/>
    </xf>
    <xf numFmtId="176" fontId="9" fillId="16" borderId="22" xfId="0" applyNumberFormat="1" applyFont="1" applyFill="1" applyBorder="1" applyAlignment="1">
      <alignment horizontal="left" vertical="center"/>
    </xf>
    <xf numFmtId="176" fontId="9" fillId="16" borderId="23" xfId="0" applyNumberFormat="1" applyFont="1" applyFill="1" applyBorder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5" fillId="15" borderId="19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8" fillId="16" borderId="29" xfId="0" applyFont="1" applyFill="1" applyBorder="1" applyAlignment="1">
      <alignment horizontal="left" vertical="center"/>
    </xf>
    <xf numFmtId="0" fontId="8" fillId="16" borderId="16" xfId="0" applyFont="1" applyFill="1" applyBorder="1" applyAlignment="1">
      <alignment horizontal="left" vertical="center"/>
    </xf>
    <xf numFmtId="0" fontId="8" fillId="16" borderId="26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5" fillId="11" borderId="11" xfId="0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 wrapText="1"/>
    </xf>
    <xf numFmtId="0" fontId="5" fillId="11" borderId="2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</cellXfs>
  <cellStyles count="6">
    <cellStyle name="常规" xfId="0" builtinId="0"/>
    <cellStyle name="常规 2" xfId="2"/>
    <cellStyle name="常规 2 2" xfId="1"/>
    <cellStyle name="常规 3" xfId="3"/>
    <cellStyle name="常规 4" xfId="4"/>
    <cellStyle name="常规_Sheet1" xfId="5"/>
  </cellStyles>
  <dxfs count="3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7054195" y="401955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4" name="文本框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17054195" y="401955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17054195" y="401955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  <xdr:twoCellAnchor>
    <xdr:from>
      <xdr:col>17</xdr:col>
      <xdr:colOff>33057</xdr:colOff>
      <xdr:row>33</xdr:row>
      <xdr:rowOff>466725</xdr:rowOff>
    </xdr:from>
    <xdr:to>
      <xdr:col>24</xdr:col>
      <xdr:colOff>416859</xdr:colOff>
      <xdr:row>37</xdr:row>
      <xdr:rowOff>316565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17054195" y="4019550"/>
          <a:ext cx="631761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/>
            <a:t>2.1 Sensor</a:t>
          </a:r>
          <a:r>
            <a:rPr lang="zh-CN" altLang="en-US" sz="1100"/>
            <a:t>中与</a:t>
          </a:r>
          <a:r>
            <a:rPr lang="en-US" altLang="zh-CN" sz="1100"/>
            <a:t>ROI</a:t>
          </a:r>
          <a:r>
            <a:rPr lang="zh-CN" altLang="en-US" sz="1100"/>
            <a:t>相关的有</a:t>
          </a:r>
          <a:r>
            <a:rPr lang="en-US" altLang="zh-CN" sz="1100"/>
            <a:t>4</a:t>
          </a:r>
          <a:r>
            <a:rPr lang="zh-CN" altLang="en-US" sz="1100"/>
            <a:t>个寄存器</a:t>
          </a:r>
          <a:endParaRPr lang="en-US" altLang="zh-CN" sz="1100"/>
        </a:p>
        <a:p>
          <a:r>
            <a:rPr lang="en-US" altLang="zh-CN" sz="1100"/>
            <a:t>2.2 ROI</a:t>
          </a:r>
          <a:r>
            <a:rPr lang="zh-CN" altLang="en-US" sz="1100"/>
            <a:t>功能可能会影响到</a:t>
          </a:r>
          <a:r>
            <a:rPr lang="en-US" altLang="zh-CN" sz="1100"/>
            <a:t>FPGA</a:t>
          </a:r>
          <a:r>
            <a:rPr lang="zh-CN" altLang="en-US" sz="1100"/>
            <a:t>的触发间隔寄存器，如果修改了</a:t>
          </a:r>
          <a:r>
            <a:rPr lang="en-US" altLang="zh-CN" sz="1100"/>
            <a:t>FPGA</a:t>
          </a:r>
          <a:r>
            <a:rPr lang="zh-CN" altLang="en-US" sz="1100"/>
            <a:t>的触发间隔寄存器，需要设置</a:t>
          </a:r>
          <a:r>
            <a:rPr lang="en-US" altLang="zh-CN" sz="1100"/>
            <a:t>FPGA</a:t>
          </a:r>
          <a:r>
            <a:rPr lang="zh-CN" altLang="en-US" sz="1100"/>
            <a:t>的成组生效</a:t>
          </a:r>
          <a:endParaRPr lang="en-US" altLang="zh-CN" sz="1100"/>
        </a:p>
        <a:p>
          <a:endParaRPr lang="en-US" altLang="zh-CN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358027</xdr:colOff>
      <xdr:row>53</xdr:row>
      <xdr:rowOff>493059</xdr:rowOff>
    </xdr:from>
    <xdr:to>
      <xdr:col>27</xdr:col>
      <xdr:colOff>11206</xdr:colOff>
      <xdr:row>56</xdr:row>
      <xdr:rowOff>582706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24046180" y="3619500"/>
          <a:ext cx="872109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358027</xdr:colOff>
      <xdr:row>42</xdr:row>
      <xdr:rowOff>493059</xdr:rowOff>
    </xdr:from>
    <xdr:to>
      <xdr:col>29</xdr:col>
      <xdr:colOff>11206</xdr:colOff>
      <xdr:row>45</xdr:row>
      <xdr:rowOff>582706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 txBox="1"/>
      </xdr:nvSpPr>
      <xdr:spPr>
        <a:xfrm>
          <a:off x="7248525" y="31068010"/>
          <a:ext cx="0" cy="38030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358027</xdr:colOff>
      <xdr:row>42</xdr:row>
      <xdr:rowOff>493059</xdr:rowOff>
    </xdr:from>
    <xdr:to>
      <xdr:col>30</xdr:col>
      <xdr:colOff>11206</xdr:colOff>
      <xdr:row>45</xdr:row>
      <xdr:rowOff>582706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 txBox="1"/>
      </xdr:nvSpPr>
      <xdr:spPr>
        <a:xfrm>
          <a:off x="7248525" y="31068010"/>
          <a:ext cx="0" cy="38030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358027</xdr:colOff>
      <xdr:row>42</xdr:row>
      <xdr:rowOff>493059</xdr:rowOff>
    </xdr:from>
    <xdr:to>
      <xdr:col>30</xdr:col>
      <xdr:colOff>11206</xdr:colOff>
      <xdr:row>45</xdr:row>
      <xdr:rowOff>582706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6169660" y="14103985"/>
          <a:ext cx="0" cy="18040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曝光时间的设置只与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FPGA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有关系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lang="en-US" altLang="zh-CN" sz="1100"/>
            <a:t>ROI</a:t>
          </a:r>
          <a:r>
            <a:rPr lang="zh-CN" altLang="en-US" sz="1100"/>
            <a:t>设置与</a:t>
          </a:r>
          <a:r>
            <a:rPr lang="en-US" altLang="zh-CN" sz="1100"/>
            <a:t>Sensor</a:t>
          </a:r>
          <a:r>
            <a:rPr lang="zh-CN" altLang="en-US" sz="1100"/>
            <a:t>和</a:t>
          </a:r>
          <a:r>
            <a:rPr lang="en-US" altLang="zh-CN" sz="1100"/>
            <a:t>FPGA</a:t>
          </a:r>
          <a:r>
            <a:rPr lang="zh-CN" altLang="en-US" sz="1100"/>
            <a:t>的寄存器都有关系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zh-CN" altLang="zh-CN">
            <a:effectLst/>
          </a:endParaRPr>
        </a:p>
        <a:p>
          <a:r>
            <a:rPr lang="en-US" altLang="zh-CN" sz="1100"/>
            <a:t>1.1 FPGA</a:t>
          </a:r>
          <a:r>
            <a:rPr lang="zh-CN" altLang="en-US" sz="1100"/>
            <a:t>中的曝光时间寄存器、曝光延迟寄存器和触发间隔寄存器与曝光时间有关</a:t>
          </a:r>
          <a:endParaRPr lang="en-US" altLang="zh-CN" sz="1100"/>
        </a:p>
        <a:p>
          <a:r>
            <a:rPr lang="en-US" altLang="zh-CN" sz="1100"/>
            <a:t>1.2</a:t>
          </a:r>
          <a:r>
            <a:rPr lang="en-US" altLang="zh-CN" sz="1100" baseline="0"/>
            <a:t> </a:t>
          </a:r>
          <a:r>
            <a:rPr lang="zh-CN" altLang="en-US" sz="1100" baseline="0"/>
            <a:t>这三组寄存器设置完之后才能设置</a:t>
          </a:r>
          <a:r>
            <a:rPr lang="en-US" altLang="zh-CN" sz="1100" baseline="0"/>
            <a:t>FPGA</a:t>
          </a:r>
          <a:r>
            <a:rPr lang="zh-CN" altLang="en-US" sz="1100" baseline="0"/>
            <a:t>的成组生效</a:t>
          </a:r>
          <a:endParaRPr lang="en-US" altLang="zh-CN" sz="1100"/>
        </a:p>
        <a:p>
          <a:endParaRPr lang="en-US" altLang="zh-CN" sz="1100"/>
        </a:p>
        <a:p>
          <a:r>
            <a:rPr lang="en-US" altLang="zh-CN" sz="1100"/>
            <a:t>***ROI***</a:t>
          </a:r>
        </a:p>
        <a:p>
          <a:r>
            <a:rPr lang="en-US" altLang="zh-CN" sz="1100">
              <a:solidFill>
                <a:sysClr val="windowText" lastClr="000000"/>
              </a:solidFill>
            </a:rPr>
            <a:t>2.1 Sensor</a:t>
          </a:r>
          <a:r>
            <a:rPr lang="zh-CN" altLang="en-US" sz="1100">
              <a:solidFill>
                <a:sysClr val="windowText" lastClr="000000"/>
              </a:solidFill>
            </a:rPr>
            <a:t>中与</a:t>
          </a:r>
          <a:r>
            <a:rPr lang="en-US" altLang="zh-CN" sz="1100">
              <a:solidFill>
                <a:sysClr val="windowText" lastClr="000000"/>
              </a:solidFill>
            </a:rPr>
            <a:t>ROI</a:t>
          </a:r>
          <a:r>
            <a:rPr lang="zh-CN" altLang="en-US" sz="1100">
              <a:solidFill>
                <a:sysClr val="windowText" lastClr="000000"/>
              </a:solidFill>
            </a:rPr>
            <a:t>相关的有</a:t>
          </a:r>
          <a:r>
            <a:rPr lang="en-US" altLang="zh-CN" sz="1100">
              <a:solidFill>
                <a:sysClr val="windowText" lastClr="000000"/>
              </a:solidFill>
            </a:rPr>
            <a:t>4</a:t>
          </a:r>
          <a:r>
            <a:rPr lang="zh-CN" altLang="en-US" sz="1100">
              <a:solidFill>
                <a:sysClr val="windowText" lastClr="000000"/>
              </a:solidFill>
            </a:rPr>
            <a:t>个寄存器，相关寄存器设置请参考</a:t>
          </a:r>
          <a:r>
            <a:rPr lang="en-US" altLang="zh-CN" sz="1100">
              <a:solidFill>
                <a:sysClr val="windowText" lastClr="000000"/>
              </a:solidFill>
            </a:rPr>
            <a:t>ROI-slave sheet</a:t>
          </a:r>
          <a:r>
            <a:rPr lang="zh-CN" altLang="en-US" sz="1100">
              <a:solidFill>
                <a:sysClr val="windowText" lastClr="000000"/>
              </a:solidFill>
            </a:rPr>
            <a:t>页</a:t>
          </a:r>
          <a:endParaRPr lang="en-US" altLang="zh-CN" sz="1100">
            <a:solidFill>
              <a:sysClr val="windowText" lastClr="000000"/>
            </a:solidFill>
          </a:endParaRPr>
        </a:p>
        <a:p>
          <a:r>
            <a:rPr lang="en-US" altLang="zh-CN" sz="1100">
              <a:solidFill>
                <a:sysClr val="windowText" lastClr="000000"/>
              </a:solidFill>
            </a:rPr>
            <a:t>2.2 ROI</a:t>
          </a:r>
          <a:r>
            <a:rPr lang="zh-CN" altLang="en-US" sz="1100">
              <a:solidFill>
                <a:sysClr val="windowText" lastClr="000000"/>
              </a:solidFill>
            </a:rPr>
            <a:t>功能可能会影响到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的触发间隔寄存器，如果修改了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的触发间隔寄存器，需要设置</a:t>
          </a:r>
          <a:r>
            <a:rPr lang="en-US" altLang="zh-CN" sz="1100">
              <a:solidFill>
                <a:sysClr val="windowText" lastClr="000000"/>
              </a:solidFill>
            </a:rPr>
            <a:t>FPGA</a:t>
          </a:r>
          <a:r>
            <a:rPr lang="zh-CN" altLang="en-US" sz="1100">
              <a:solidFill>
                <a:sysClr val="windowText" lastClr="000000"/>
              </a:solidFill>
            </a:rPr>
            <a:t>的成组生</a:t>
          </a:r>
          <a:endParaRPr lang="en-US" altLang="zh-CN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6"/>
  <sheetViews>
    <sheetView tabSelected="1" workbookViewId="0">
      <selection activeCell="E20" sqref="E20"/>
    </sheetView>
  </sheetViews>
  <sheetFormatPr defaultColWidth="9" defaultRowHeight="13.5"/>
  <cols>
    <col min="1" max="1" width="11.875" customWidth="1"/>
    <col min="2" max="2" width="37.125" customWidth="1"/>
    <col min="3" max="3" width="13.625" customWidth="1"/>
  </cols>
  <sheetData>
    <row r="1" spans="1:3" ht="21" customHeight="1">
      <c r="A1" s="230" t="s">
        <v>0</v>
      </c>
      <c r="B1" s="230" t="s">
        <v>1</v>
      </c>
      <c r="C1" s="230" t="s">
        <v>2</v>
      </c>
    </row>
    <row r="2" spans="1:3" ht="33.75" customHeight="1">
      <c r="A2" s="57" t="s">
        <v>3</v>
      </c>
      <c r="B2" s="57" t="s">
        <v>4</v>
      </c>
      <c r="C2" s="231">
        <v>43203</v>
      </c>
    </row>
    <row r="3" spans="1:3" ht="37.5" customHeight="1">
      <c r="A3" s="57" t="s">
        <v>5</v>
      </c>
      <c r="B3" s="57" t="s">
        <v>6</v>
      </c>
      <c r="C3" s="231">
        <v>43210</v>
      </c>
    </row>
    <row r="4" spans="1:3" ht="36" customHeight="1">
      <c r="A4" s="57" t="s">
        <v>7</v>
      </c>
      <c r="B4" s="57" t="s">
        <v>8</v>
      </c>
      <c r="C4" s="231">
        <v>43213</v>
      </c>
    </row>
    <row r="5" spans="1:3" ht="39" customHeight="1">
      <c r="A5" s="57" t="s">
        <v>9</v>
      </c>
      <c r="B5" s="57" t="s">
        <v>10</v>
      </c>
      <c r="C5" s="231">
        <v>43215</v>
      </c>
    </row>
    <row r="6" spans="1:3" ht="35.25" customHeight="1">
      <c r="A6" s="57" t="s">
        <v>11</v>
      </c>
      <c r="B6" s="57" t="s">
        <v>12</v>
      </c>
      <c r="C6" s="231">
        <v>43227</v>
      </c>
    </row>
    <row r="7" spans="1:3" ht="33" customHeight="1">
      <c r="A7" s="57" t="s">
        <v>13</v>
      </c>
      <c r="B7" s="57" t="s">
        <v>14</v>
      </c>
      <c r="C7" s="231">
        <v>43228</v>
      </c>
    </row>
    <row r="8" spans="1:3" ht="30" customHeight="1">
      <c r="A8" s="57" t="s">
        <v>15</v>
      </c>
      <c r="B8" s="57" t="s">
        <v>16</v>
      </c>
      <c r="C8" s="231">
        <v>43595</v>
      </c>
    </row>
    <row r="9" spans="1:3" ht="31.5" customHeight="1">
      <c r="A9" s="57" t="s">
        <v>17</v>
      </c>
      <c r="B9" s="57" t="s">
        <v>18</v>
      </c>
      <c r="C9" s="231">
        <v>43602</v>
      </c>
    </row>
    <row r="10" spans="1:3" ht="31.5" customHeight="1">
      <c r="A10" s="57" t="s">
        <v>19</v>
      </c>
      <c r="B10" s="57" t="s">
        <v>20</v>
      </c>
      <c r="C10" s="231">
        <v>43607</v>
      </c>
    </row>
    <row r="11" spans="1:3" ht="33.75" customHeight="1">
      <c r="A11" s="57" t="s">
        <v>21</v>
      </c>
      <c r="B11" s="57" t="s">
        <v>22</v>
      </c>
      <c r="C11" s="231">
        <v>44769</v>
      </c>
    </row>
    <row r="12" spans="1:3" ht="30" customHeight="1">
      <c r="A12" s="57" t="s">
        <v>23</v>
      </c>
      <c r="B12" s="57" t="s">
        <v>24</v>
      </c>
      <c r="C12" s="231">
        <v>44843</v>
      </c>
    </row>
    <row r="13" spans="1:3" ht="30.75" customHeight="1">
      <c r="A13" s="57" t="s">
        <v>25</v>
      </c>
      <c r="B13" s="232" t="s">
        <v>693</v>
      </c>
      <c r="C13" s="231">
        <v>45268</v>
      </c>
    </row>
    <row r="14" spans="1:3" ht="30.75" customHeight="1">
      <c r="A14" s="57" t="s">
        <v>26</v>
      </c>
      <c r="B14" s="57" t="s">
        <v>27</v>
      </c>
      <c r="C14" s="231">
        <v>45327</v>
      </c>
    </row>
    <row r="15" spans="1:3" ht="40.5">
      <c r="A15" s="232" t="s">
        <v>692</v>
      </c>
      <c r="B15" s="295" t="s">
        <v>694</v>
      </c>
      <c r="C15" s="231">
        <v>45434</v>
      </c>
    </row>
    <row r="16" spans="1:3">
      <c r="B16" s="208"/>
    </row>
    <row r="17" spans="2:2">
      <c r="B17" s="208"/>
    </row>
    <row r="18" spans="2:2">
      <c r="B18" s="208"/>
    </row>
    <row r="19" spans="2:2">
      <c r="B19" s="208"/>
    </row>
    <row r="20" spans="2:2">
      <c r="B20" s="208"/>
    </row>
    <row r="21" spans="2:2">
      <c r="B21" s="208"/>
    </row>
    <row r="24" spans="2:2">
      <c r="B24" s="208"/>
    </row>
    <row r="25" spans="2:2">
      <c r="B25" s="208"/>
    </row>
    <row r="26" spans="2:2">
      <c r="B26" s="208"/>
    </row>
  </sheetData>
  <phoneticPr fontId="1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76"/>
  <sheetViews>
    <sheetView workbookViewId="0">
      <selection activeCell="B11" sqref="B11"/>
    </sheetView>
  </sheetViews>
  <sheetFormatPr defaultColWidth="9" defaultRowHeight="13.5"/>
  <cols>
    <col min="1" max="1" width="29" style="1" customWidth="1"/>
    <col min="2" max="2" width="19" style="1" customWidth="1"/>
    <col min="3" max="3" width="10" style="1" customWidth="1"/>
    <col min="4" max="8" width="6.125" style="1" customWidth="1"/>
    <col min="9" max="9" width="15.125" style="1" customWidth="1"/>
    <col min="10" max="10" width="26" style="1" customWidth="1"/>
    <col min="11" max="11" width="13.25" style="1" customWidth="1"/>
    <col min="12" max="12" width="7.5" style="1" customWidth="1"/>
    <col min="13" max="13" width="4.5" style="1" customWidth="1"/>
    <col min="14" max="14" width="19.625" style="1" customWidth="1"/>
    <col min="15" max="15" width="29" style="1" customWidth="1"/>
    <col min="16" max="16" width="10.125" style="1" customWidth="1"/>
    <col min="17" max="17" width="9.625" style="1" customWidth="1"/>
    <col min="18" max="18" width="4.875" style="1" customWidth="1"/>
    <col min="19" max="19" width="14.5" style="1" customWidth="1"/>
    <col min="20" max="20" width="22.5" style="1" customWidth="1"/>
    <col min="21" max="22" width="9" style="1" customWidth="1"/>
    <col min="23" max="16384" width="9" style="1"/>
  </cols>
  <sheetData>
    <row r="1" spans="1:2" ht="13.5" customHeight="1">
      <c r="A1" s="2"/>
      <c r="B1" s="3"/>
    </row>
    <row r="2" spans="1:2">
      <c r="A2" s="2" t="s">
        <v>28</v>
      </c>
      <c r="B2" s="192">
        <v>4096</v>
      </c>
    </row>
    <row r="3" spans="1:2" ht="18" customHeight="1">
      <c r="A3" s="2" t="s">
        <v>29</v>
      </c>
      <c r="B3" s="192">
        <v>3000</v>
      </c>
    </row>
    <row r="4" spans="1:2" ht="20.25" customHeight="1">
      <c r="A4" s="2" t="s">
        <v>30</v>
      </c>
      <c r="B4" s="192">
        <v>60000</v>
      </c>
    </row>
    <row r="5" spans="1:2" ht="19.5" customHeight="1">
      <c r="A5" s="2" t="s">
        <v>31</v>
      </c>
      <c r="B5" s="192">
        <v>8</v>
      </c>
    </row>
    <row r="6" spans="1:2" ht="18.75" customHeight="1">
      <c r="A6" s="2" t="s">
        <v>32</v>
      </c>
      <c r="B6" s="192">
        <v>1500</v>
      </c>
    </row>
    <row r="7" spans="1:2" ht="16.5" customHeight="1">
      <c r="A7" s="2" t="s">
        <v>33</v>
      </c>
      <c r="B7" s="192">
        <v>0</v>
      </c>
    </row>
    <row r="8" spans="1:2">
      <c r="A8" s="2" t="s">
        <v>34</v>
      </c>
      <c r="B8" s="193">
        <f>IF((ROUNDDOWN((I40-(62+B6-36)*O60-62-O61-170)/(O60+3),0)-12)&gt;180000,180000,ROUNDDOWN((I40-(62+B6-36)*O60-62-O61-170)/(O60+3),0)-12)</f>
        <v>132454</v>
      </c>
    </row>
    <row r="9" spans="1:2" ht="24" customHeight="1">
      <c r="A9" s="2" t="s">
        <v>35</v>
      </c>
      <c r="B9" s="192">
        <v>9</v>
      </c>
    </row>
    <row r="10" spans="1:2" ht="23.25" customHeight="1">
      <c r="A10" s="2" t="s">
        <v>36</v>
      </c>
      <c r="B10" s="192">
        <v>0</v>
      </c>
    </row>
    <row r="11" spans="1:2" ht="18.75" customHeight="1">
      <c r="A11" s="2" t="s">
        <v>37</v>
      </c>
      <c r="B11" s="192">
        <v>1000</v>
      </c>
    </row>
    <row r="12" spans="1:2" ht="19.5" customHeight="1">
      <c r="A12" s="2" t="s">
        <v>38</v>
      </c>
      <c r="B12" s="192">
        <v>10</v>
      </c>
    </row>
    <row r="13" spans="1:2">
      <c r="A13" s="2" t="s">
        <v>39</v>
      </c>
      <c r="B13" s="193">
        <f>IF((100-ROUNDDOWN(I41*10/(1250000*B11/10),0)-1)&lt;0,0,(100-ROUNDDOWN(I41*10/(1250000*B11/10),0)-1))</f>
        <v>98</v>
      </c>
    </row>
    <row r="14" spans="1:2" ht="14.25" hidden="1" customHeight="1">
      <c r="A14" s="2"/>
      <c r="B14" s="193">
        <f>IF(O24="GIGE",INT(INT(INT(INT(B2*INT(1000000000/I23)/10)*IF(B5=8,1,2)/10)*B3/10)*10/(100-B12))*10,"-")</f>
        <v>118961330</v>
      </c>
    </row>
    <row r="15" spans="1:2" ht="14.25" customHeight="1">
      <c r="A15" s="2"/>
      <c r="B15" s="193"/>
    </row>
    <row r="16" spans="1:2" ht="14.25" customHeight="1">
      <c r="A16" s="13"/>
      <c r="B16" s="194"/>
    </row>
    <row r="17" spans="1:23" ht="14.25" customHeight="1">
      <c r="A17" s="13" t="s">
        <v>40</v>
      </c>
      <c r="B17" s="195">
        <f>1000000/I23</f>
        <v>8.7133060897296257</v>
      </c>
    </row>
    <row r="18" spans="1:23" ht="41.25" customHeight="1"/>
    <row r="19" spans="1:23" ht="40.5" hidden="1">
      <c r="A19" s="15" t="s">
        <v>41</v>
      </c>
      <c r="B19" s="15" t="s">
        <v>42</v>
      </c>
      <c r="C19" s="16" t="s">
        <v>43</v>
      </c>
      <c r="D19" s="31"/>
      <c r="F19" s="249" t="s">
        <v>44</v>
      </c>
      <c r="G19" s="250"/>
      <c r="H19" s="250"/>
      <c r="I19" s="250"/>
      <c r="J19" s="251"/>
      <c r="L19" s="249" t="s">
        <v>45</v>
      </c>
      <c r="M19" s="250"/>
      <c r="N19" s="250"/>
      <c r="O19" s="250"/>
      <c r="P19" s="251"/>
      <c r="R19" s="36" t="s">
        <v>46</v>
      </c>
      <c r="S19" s="21"/>
      <c r="T19" s="21"/>
      <c r="U19" s="21"/>
      <c r="V19" s="37"/>
      <c r="W19" s="225"/>
    </row>
    <row r="20" spans="1:23" ht="27" hidden="1">
      <c r="A20" s="252" t="s">
        <v>47</v>
      </c>
      <c r="B20" s="253"/>
      <c r="C20" s="253"/>
      <c r="D20" s="254"/>
      <c r="F20" s="196" t="s">
        <v>48</v>
      </c>
      <c r="G20" s="20" t="s">
        <v>49</v>
      </c>
      <c r="H20" s="33" t="s">
        <v>50</v>
      </c>
      <c r="I20" s="20" t="s">
        <v>51</v>
      </c>
      <c r="J20" s="214" t="s">
        <v>52</v>
      </c>
      <c r="L20" s="233" t="s">
        <v>53</v>
      </c>
      <c r="M20" s="234"/>
      <c r="N20" s="234"/>
      <c r="O20" s="234"/>
      <c r="P20" s="235"/>
      <c r="R20" s="32" t="s">
        <v>54</v>
      </c>
      <c r="S20" s="20" t="s">
        <v>49</v>
      </c>
      <c r="T20" s="20" t="s">
        <v>55</v>
      </c>
      <c r="U20" s="20" t="s">
        <v>56</v>
      </c>
      <c r="V20" s="20" t="s">
        <v>50</v>
      </c>
      <c r="W20" s="35" t="s">
        <v>57</v>
      </c>
    </row>
    <row r="21" spans="1:23" ht="40.5" hidden="1">
      <c r="A21" s="32" t="s">
        <v>48</v>
      </c>
      <c r="B21" s="20" t="s">
        <v>49</v>
      </c>
      <c r="C21" s="20" t="s">
        <v>58</v>
      </c>
      <c r="D21" s="35" t="s">
        <v>59</v>
      </c>
      <c r="F21" s="233" t="s">
        <v>60</v>
      </c>
      <c r="G21" s="234"/>
      <c r="H21" s="234"/>
      <c r="I21" s="234"/>
      <c r="J21" s="235"/>
      <c r="L21" s="32" t="s">
        <v>48</v>
      </c>
      <c r="M21" s="20" t="s">
        <v>49</v>
      </c>
      <c r="N21" s="20" t="s">
        <v>50</v>
      </c>
      <c r="O21" s="20" t="s">
        <v>61</v>
      </c>
      <c r="P21" s="60" t="s">
        <v>52</v>
      </c>
      <c r="R21" s="62" t="s">
        <v>62</v>
      </c>
      <c r="S21" s="226" t="s">
        <v>63</v>
      </c>
      <c r="T21" s="57">
        <v>520</v>
      </c>
      <c r="U21" s="57" t="str">
        <f>"R"&amp;T21&amp;"(R0x"&amp;DEC2HEX(T21)&amp;")"</f>
        <v>R520(R0x208)</v>
      </c>
      <c r="V21" s="57" t="s">
        <v>64</v>
      </c>
      <c r="W21" s="227">
        <v>1</v>
      </c>
    </row>
    <row r="22" spans="1:23" ht="229.5" hidden="1">
      <c r="A22" s="236" t="s">
        <v>65</v>
      </c>
      <c r="B22" s="237"/>
      <c r="C22" s="237"/>
      <c r="D22" s="238"/>
      <c r="F22" s="197" t="s">
        <v>66</v>
      </c>
      <c r="G22" s="57" t="s">
        <v>67</v>
      </c>
      <c r="H22" s="198" t="s">
        <v>68</v>
      </c>
      <c r="I22" s="215">
        <f>ROUNDUP(1000000*O28/O22,0)</f>
        <v>21520</v>
      </c>
      <c r="J22" s="63" t="s">
        <v>69</v>
      </c>
      <c r="L22" s="62"/>
      <c r="M22" s="62" t="s">
        <v>70</v>
      </c>
      <c r="N22" s="62" t="s">
        <v>71</v>
      </c>
      <c r="O22" s="58">
        <v>37500</v>
      </c>
      <c r="P22" s="63" t="s">
        <v>72</v>
      </c>
      <c r="R22" s="62" t="s">
        <v>73</v>
      </c>
      <c r="S22" s="242" t="s">
        <v>74</v>
      </c>
      <c r="T22" s="57">
        <v>1298</v>
      </c>
      <c r="U22" s="57" t="str">
        <f>"R"&amp;T22&amp;"(R0x"&amp;DEC2HEX(T22)&amp;")"</f>
        <v>R1298(R0x512)</v>
      </c>
      <c r="V22" s="247" t="s">
        <v>75</v>
      </c>
      <c r="W22" s="227" t="str">
        <f>DEC2HEX(D32+O27-(HEX2DEC(W23)*256))</f>
        <v>4</v>
      </c>
    </row>
    <row r="23" spans="1:23" ht="81" hidden="1">
      <c r="A23" s="62" t="s">
        <v>76</v>
      </c>
      <c r="B23" s="57" t="s">
        <v>77</v>
      </c>
      <c r="C23" s="57">
        <v>8</v>
      </c>
      <c r="F23" s="197" t="s">
        <v>78</v>
      </c>
      <c r="G23" s="57" t="s">
        <v>79</v>
      </c>
      <c r="H23" s="198" t="s">
        <v>80</v>
      </c>
      <c r="I23" s="58">
        <f>ROUNDUP(MAX(I27,I28,I30,I31)*I22/1000,0)</f>
        <v>114767</v>
      </c>
      <c r="J23" s="63" t="s">
        <v>81</v>
      </c>
      <c r="L23" s="62" t="s">
        <v>82</v>
      </c>
      <c r="M23" s="62" t="s">
        <v>83</v>
      </c>
      <c r="N23" s="62" t="s">
        <v>84</v>
      </c>
      <c r="O23" s="58" t="str">
        <f>IF(C19="mars-1231-32u3x","IMX253",IF(OR(C19="mars-1230-9gx",C19="mars-1230-23u3x"),"IMX304",IF(C19="mars-881-44u3x","IMX255",IF(OR(C19="mars-880-13gx",C19="mars-880-32u3x"),"IMX267","-"))))</f>
        <v>IMX304</v>
      </c>
      <c r="P23" s="62" t="s">
        <v>84</v>
      </c>
      <c r="R23" s="62" t="s">
        <v>85</v>
      </c>
      <c r="S23" s="243"/>
      <c r="T23" s="57">
        <v>1299</v>
      </c>
      <c r="U23" s="57" t="str">
        <f>"R"&amp;T23&amp;"(R0x"&amp;DEC2HEX(T23)&amp;")"</f>
        <v>R1299(R0x513)</v>
      </c>
      <c r="V23" s="248"/>
      <c r="W23" s="227" t="str">
        <f>DEC2HEX(INT((D32+O27)/256))</f>
        <v>0</v>
      </c>
    </row>
    <row r="24" spans="1:23" ht="67.5" hidden="1">
      <c r="A24" s="236" t="s">
        <v>86</v>
      </c>
      <c r="B24" s="237"/>
      <c r="C24" s="237"/>
      <c r="D24" s="238"/>
      <c r="F24" s="197" t="s">
        <v>87</v>
      </c>
      <c r="G24" s="57" t="s">
        <v>60</v>
      </c>
      <c r="H24" s="198" t="s">
        <v>88</v>
      </c>
      <c r="J24" s="63" t="s">
        <v>89</v>
      </c>
      <c r="L24" s="62" t="s">
        <v>90</v>
      </c>
      <c r="M24" s="62" t="s">
        <v>91</v>
      </c>
      <c r="N24" s="62" t="s">
        <v>84</v>
      </c>
      <c r="O24" s="58" t="str">
        <f>IF(OR(C19="mars-1230-9gx",C19="mars-880-13gx"),"GIGE",IF(OR(C19="mars-1231-32u3x",C19="mars-1230-23u3x",C19="mars-881-44u3x",C19="mars-880-32u3x"),"U3","-"))</f>
        <v>GIGE</v>
      </c>
      <c r="P24" s="62" t="s">
        <v>84</v>
      </c>
      <c r="R24" s="62" t="s">
        <v>92</v>
      </c>
      <c r="S24" s="242" t="s">
        <v>93</v>
      </c>
      <c r="T24" s="57">
        <v>1302</v>
      </c>
      <c r="U24" s="57" t="str">
        <f t="shared" ref="U24:U26" si="0">"R"&amp;T24&amp;"(R0x"&amp;DEC2HEX(T24)&amp;")"</f>
        <v>R1302(R0x516)</v>
      </c>
      <c r="V24" s="247" t="s">
        <v>94</v>
      </c>
      <c r="W24" s="227" t="str">
        <f>DEC2HEX(B3-HEX2DEC(W25)*256)</f>
        <v>B8</v>
      </c>
    </row>
    <row r="25" spans="1:23" ht="189" hidden="1">
      <c r="A25" s="62" t="s">
        <v>95</v>
      </c>
      <c r="B25" s="57" t="s">
        <v>96</v>
      </c>
      <c r="C25" s="57" t="str">
        <f>IF(C19="mars-1230-23u3x","40000",IF(OR(C19="mars-1230-9gx",C19="mars-880-13gx"),"60000",IF(OR(C19="mars-1231-32u3x",C19="mars-880-32u3x"),"30000",IF(C19="mars-881-44u3x","20000","-"))))</f>
        <v>60000</v>
      </c>
      <c r="F25" s="233" t="s">
        <v>97</v>
      </c>
      <c r="G25" s="234"/>
      <c r="H25" s="234"/>
      <c r="I25" s="234"/>
      <c r="J25" s="235"/>
      <c r="L25" s="62" t="s">
        <v>98</v>
      </c>
      <c r="M25" s="57" t="s">
        <v>99</v>
      </c>
      <c r="N25" s="57" t="s">
        <v>84</v>
      </c>
      <c r="O25" s="58">
        <v>8</v>
      </c>
      <c r="P25" s="63" t="s">
        <v>100</v>
      </c>
      <c r="R25" s="62" t="s">
        <v>101</v>
      </c>
      <c r="S25" s="243"/>
      <c r="T25" s="57">
        <v>1303</v>
      </c>
      <c r="U25" s="57" t="str">
        <f t="shared" si="0"/>
        <v>R1303(R0x517)</v>
      </c>
      <c r="V25" s="248"/>
      <c r="W25" s="227" t="str">
        <f>DEC2HEX(INT(B3/256))</f>
        <v>B</v>
      </c>
    </row>
    <row r="26" spans="1:23" ht="40.5" hidden="1">
      <c r="A26" s="62" t="s">
        <v>102</v>
      </c>
      <c r="B26" s="57" t="s">
        <v>103</v>
      </c>
      <c r="C26" s="57">
        <v>0</v>
      </c>
      <c r="D26" s="199">
        <v>0</v>
      </c>
      <c r="F26" s="197"/>
      <c r="G26" s="57"/>
      <c r="H26" s="22"/>
      <c r="I26" s="43"/>
      <c r="J26" s="216"/>
      <c r="L26" s="62"/>
      <c r="M26" s="57"/>
      <c r="N26" s="57"/>
      <c r="O26" s="58"/>
      <c r="P26" s="63"/>
      <c r="R26" s="62" t="s">
        <v>62</v>
      </c>
      <c r="S26" s="226" t="s">
        <v>63</v>
      </c>
      <c r="T26" s="57">
        <v>520</v>
      </c>
      <c r="U26" s="57" t="str">
        <f t="shared" si="0"/>
        <v>R520(R0x208)</v>
      </c>
      <c r="V26" s="57" t="s">
        <v>64</v>
      </c>
      <c r="W26" s="227">
        <v>0</v>
      </c>
    </row>
    <row r="27" spans="1:23" ht="189" hidden="1">
      <c r="A27" s="236" t="s">
        <v>104</v>
      </c>
      <c r="B27" s="237"/>
      <c r="C27" s="237"/>
      <c r="D27" s="238"/>
      <c r="F27" s="197" t="s">
        <v>105</v>
      </c>
      <c r="G27" s="57" t="s">
        <v>106</v>
      </c>
      <c r="H27" s="22" t="s">
        <v>107</v>
      </c>
      <c r="I27" s="43">
        <f>I39+O30</f>
        <v>3055</v>
      </c>
      <c r="J27" s="216" t="s">
        <v>108</v>
      </c>
      <c r="L27" s="62" t="s">
        <v>109</v>
      </c>
      <c r="M27" s="57" t="s">
        <v>99</v>
      </c>
      <c r="N27" s="57" t="s">
        <v>110</v>
      </c>
      <c r="O27" s="58">
        <f>IF(OR(O23="IMX253",O23="IMX304"),4,IF(OR(O23="IMX255",O23="IMX267"),8,"-"))</f>
        <v>4</v>
      </c>
      <c r="P27" s="63" t="s">
        <v>100</v>
      </c>
      <c r="R27" s="233" t="s">
        <v>111</v>
      </c>
      <c r="S27" s="234"/>
      <c r="T27" s="234"/>
      <c r="U27" s="234"/>
      <c r="V27" s="235"/>
      <c r="W27" s="225"/>
    </row>
    <row r="28" spans="1:23" ht="283.5" hidden="1">
      <c r="A28" s="62" t="s">
        <v>112</v>
      </c>
      <c r="B28" s="57" t="s">
        <v>113</v>
      </c>
      <c r="C28" s="57">
        <v>0</v>
      </c>
      <c r="D28" s="199">
        <v>0</v>
      </c>
      <c r="F28" s="200" t="s">
        <v>114</v>
      </c>
      <c r="G28" s="23" t="s">
        <v>115</v>
      </c>
      <c r="H28" s="23" t="s">
        <v>116</v>
      </c>
      <c r="I28" s="44">
        <f>I33+O31</f>
        <v>2800</v>
      </c>
      <c r="J28" s="217" t="s">
        <v>108</v>
      </c>
      <c r="L28" s="62" t="s">
        <v>117</v>
      </c>
      <c r="M28" s="57" t="s">
        <v>118</v>
      </c>
      <c r="N28" s="57" t="s">
        <v>119</v>
      </c>
      <c r="O28" s="58">
        <f>IF(O24="GIGE",807,IF(O24="U3",IF(B5=8,IF(O23="IMX253",417,IF(O23="IMX255",417,IF(O23="IMX304",522,IF(O23="IMX267",522,"-")))),IF(O23="IMX253",834,IF(O23="IMX255",834,IF(O23="IMX304",1044,IF(O23="IMX267",1044,"-")))))))</f>
        <v>807</v>
      </c>
      <c r="P28" s="63" t="s">
        <v>120</v>
      </c>
      <c r="R28" s="62" t="s">
        <v>121</v>
      </c>
      <c r="S28" s="57" t="s">
        <v>122</v>
      </c>
      <c r="T28" s="57"/>
      <c r="U28" s="57" t="str">
        <f>IF(O24="U3","0x1b0",IF(O24="GIGE","0x94","-"))</f>
        <v>0x94</v>
      </c>
      <c r="V28" s="57" t="s">
        <v>123</v>
      </c>
      <c r="W28" s="228" t="str">
        <f>IF(O24="U3",DEC2HEX(O28),IF(O24="GIGE",DEC2HEX(O28),"-"))</f>
        <v>327</v>
      </c>
    </row>
    <row r="29" spans="1:23" ht="283.5" hidden="1">
      <c r="A29" s="201"/>
      <c r="B29" s="202"/>
      <c r="C29" s="202"/>
      <c r="D29" s="203"/>
      <c r="F29" s="197"/>
      <c r="G29" s="57"/>
      <c r="H29" s="22"/>
      <c r="I29" s="43"/>
      <c r="J29" s="216"/>
      <c r="L29" s="62" t="s">
        <v>124</v>
      </c>
      <c r="M29" s="57" t="s">
        <v>125</v>
      </c>
      <c r="N29" s="57" t="s">
        <v>126</v>
      </c>
      <c r="O29" s="58">
        <f>IF(O24="GIGE",IF(O23="IMX253",678,IF(O23="IMX255",678,IF(O23="IMX304",807,IF(O23="IMX267",807,"-")))),"-")</f>
        <v>807</v>
      </c>
      <c r="P29" s="63" t="s">
        <v>120</v>
      </c>
      <c r="R29" s="62" t="s">
        <v>127</v>
      </c>
      <c r="S29" s="57" t="s">
        <v>128</v>
      </c>
      <c r="T29" s="57"/>
      <c r="U29" s="57" t="str">
        <f>IF(O23="U3","0x1b1",IF(O23="GIGE","0x95","-"))</f>
        <v>-</v>
      </c>
      <c r="V29" s="57" t="s">
        <v>129</v>
      </c>
      <c r="W29" s="227" t="e">
        <f>DEC2HEX(INT(#REF!/I21))</f>
        <v>#REF!</v>
      </c>
    </row>
    <row r="30" spans="1:23" ht="409.5" hidden="1">
      <c r="A30" s="236" t="s">
        <v>130</v>
      </c>
      <c r="B30" s="237"/>
      <c r="C30" s="237"/>
      <c r="D30" s="238"/>
      <c r="F30" s="197" t="s">
        <v>131</v>
      </c>
      <c r="G30" s="57" t="s">
        <v>132</v>
      </c>
      <c r="H30" s="57" t="s">
        <v>133</v>
      </c>
      <c r="I30" s="58">
        <f>ROUNDUP(((1000000000/B9)/I22)*B10,0)</f>
        <v>0</v>
      </c>
      <c r="J30" s="216" t="s">
        <v>108</v>
      </c>
      <c r="L30" s="62" t="s">
        <v>134</v>
      </c>
      <c r="M30" s="57" t="s">
        <v>135</v>
      </c>
      <c r="N30" s="57" t="s">
        <v>136</v>
      </c>
      <c r="O30" s="58">
        <f>IF(OR(O23="IMX253",O23="IMX255"),54,IF(OR(O23="IMX304",O23="IMX267"),34,"-"))</f>
        <v>34</v>
      </c>
      <c r="P30" s="63" t="s">
        <v>108</v>
      </c>
      <c r="R30" s="66" t="s">
        <v>137</v>
      </c>
      <c r="S30" s="23" t="s">
        <v>138</v>
      </c>
      <c r="T30" s="23"/>
      <c r="U30" s="23" t="str">
        <f>IF(O23="U3","0x1b4-0x1b5",IF(O24="GIGE","0x96","-"))</f>
        <v>0x96</v>
      </c>
      <c r="V30" s="23" t="s">
        <v>139</v>
      </c>
      <c r="W30" s="228" t="str">
        <f>DEC2HEX(I33)</f>
        <v>AE4</v>
      </c>
    </row>
    <row r="31" spans="1:23" ht="409.5" hidden="1">
      <c r="A31" s="62" t="s">
        <v>140</v>
      </c>
      <c r="B31" s="57" t="s">
        <v>141</v>
      </c>
      <c r="C31" s="57">
        <v>0</v>
      </c>
      <c r="D31" s="199">
        <v>0</v>
      </c>
      <c r="F31" s="197" t="s">
        <v>142</v>
      </c>
      <c r="G31" s="57" t="s">
        <v>143</v>
      </c>
      <c r="H31" s="57" t="s">
        <v>144</v>
      </c>
      <c r="I31" s="58">
        <f>IF(O24="U3",O40,IF(O24="GIGE",O72,"-"))</f>
        <v>5333</v>
      </c>
      <c r="J31" s="216" t="s">
        <v>108</v>
      </c>
      <c r="L31" s="62" t="s">
        <v>145</v>
      </c>
      <c r="M31" s="57" t="s">
        <v>146</v>
      </c>
      <c r="N31" s="57" t="s">
        <v>147</v>
      </c>
      <c r="O31" s="58">
        <f>IF(OR(O23="IMX253",O23="IMX255"),24,IF(OR(O23="IMX304",O23="IMX267"),12,"-"))</f>
        <v>12</v>
      </c>
      <c r="P31" s="63" t="s">
        <v>108</v>
      </c>
      <c r="R31" s="98" t="s">
        <v>148</v>
      </c>
      <c r="S31" s="91" t="s">
        <v>149</v>
      </c>
      <c r="T31" s="91"/>
      <c r="U31" s="91" t="str">
        <f>IF(O23="U3","0x1b6-0x1b7",IF(O24="GIGE","0x97","-"))</f>
        <v>0x97</v>
      </c>
      <c r="V31" s="91" t="s">
        <v>150</v>
      </c>
      <c r="W31" s="229" t="str">
        <f>DEC2HEX(MAX(I27,I28,I30,I31))</f>
        <v>14D5</v>
      </c>
    </row>
    <row r="32" spans="1:23" ht="409.5" hidden="1">
      <c r="A32" s="62" t="s">
        <v>151</v>
      </c>
      <c r="B32" s="57" t="s">
        <v>152</v>
      </c>
      <c r="C32" s="57">
        <v>0</v>
      </c>
      <c r="D32" s="199">
        <v>0</v>
      </c>
      <c r="F32" s="233" t="s">
        <v>153</v>
      </c>
      <c r="G32" s="234"/>
      <c r="H32" s="234"/>
      <c r="I32" s="234"/>
      <c r="J32" s="235"/>
      <c r="L32" s="66" t="s">
        <v>154</v>
      </c>
      <c r="M32" s="23" t="s">
        <v>155</v>
      </c>
      <c r="N32" s="23" t="s">
        <v>84</v>
      </c>
      <c r="O32" s="218">
        <v>14260</v>
      </c>
      <c r="P32" s="67" t="s">
        <v>69</v>
      </c>
      <c r="R32" s="98" t="s">
        <v>156</v>
      </c>
      <c r="S32" s="91">
        <v>32</v>
      </c>
      <c r="T32" s="91"/>
      <c r="U32" s="91" t="str">
        <f>"0x"&amp;DEC2HEX(S32)</f>
        <v>0x20</v>
      </c>
      <c r="V32" s="91" t="s">
        <v>157</v>
      </c>
      <c r="W32" s="229">
        <v>1</v>
      </c>
    </row>
    <row r="33" spans="1:18" ht="135" hidden="1">
      <c r="A33" s="62" t="s">
        <v>28</v>
      </c>
      <c r="B33" s="57" t="s">
        <v>158</v>
      </c>
      <c r="C33" s="57">
        <f>IF(OR(O23="IMX253",O23="IMX304",O23="IMX255",O23="IMX267"),4096,"-")</f>
        <v>4096</v>
      </c>
      <c r="F33" s="200" t="s">
        <v>159</v>
      </c>
      <c r="G33" s="23" t="s">
        <v>160</v>
      </c>
      <c r="H33" s="23" t="s">
        <v>161</v>
      </c>
      <c r="I33" s="44">
        <f>MAX(ROUNDUP(((1000*B4-O32)/I22),0),1)</f>
        <v>2788</v>
      </c>
      <c r="J33" s="217" t="s">
        <v>108</v>
      </c>
      <c r="L33" s="25" t="s">
        <v>162</v>
      </c>
      <c r="M33" s="22" t="s">
        <v>163</v>
      </c>
      <c r="N33" s="22" t="s">
        <v>164</v>
      </c>
      <c r="O33" s="53">
        <f>IF(O24="U3",3950,IF(O24="GIGE",IF(O23="IMX304",1106,IF(O23="IMX267",1250,"-")),"-"))</f>
        <v>1106</v>
      </c>
      <c r="P33" s="40" t="s">
        <v>165</v>
      </c>
    </row>
    <row r="34" spans="1:18" ht="67.5" hidden="1">
      <c r="A34" s="62" t="s">
        <v>29</v>
      </c>
      <c r="B34" s="57" t="s">
        <v>166</v>
      </c>
      <c r="C34" s="57">
        <f>IF(OR(O23="IMX253",O23="IMX304"),3000,IF(OR(O23="IMX255",O23="IMX267"),2160,"-"))</f>
        <v>3000</v>
      </c>
      <c r="F34" s="197" t="s">
        <v>167</v>
      </c>
      <c r="G34" s="57" t="s">
        <v>168</v>
      </c>
      <c r="H34" s="57">
        <v>0</v>
      </c>
      <c r="I34" s="58">
        <v>0</v>
      </c>
      <c r="J34" s="63" t="s">
        <v>81</v>
      </c>
      <c r="L34" s="233" t="s">
        <v>169</v>
      </c>
      <c r="M34" s="234"/>
      <c r="N34" s="234"/>
      <c r="O34" s="234"/>
      <c r="P34" s="235"/>
    </row>
    <row r="35" spans="1:18" ht="94.5" hidden="1">
      <c r="A35" s="236" t="s">
        <v>170</v>
      </c>
      <c r="B35" s="237"/>
      <c r="C35" s="237"/>
      <c r="D35" s="238"/>
      <c r="F35" s="197" t="s">
        <v>171</v>
      </c>
      <c r="G35" s="57" t="s">
        <v>172</v>
      </c>
      <c r="H35" s="57" t="s">
        <v>173</v>
      </c>
      <c r="I35" s="58">
        <f>IF(B4&gt;100,B4,100)</f>
        <v>60000</v>
      </c>
      <c r="J35" s="63" t="s">
        <v>81</v>
      </c>
      <c r="L35" s="32" t="s">
        <v>48</v>
      </c>
      <c r="M35" s="20" t="s">
        <v>49</v>
      </c>
      <c r="N35" s="20" t="s">
        <v>50</v>
      </c>
      <c r="O35" s="20" t="s">
        <v>61</v>
      </c>
      <c r="P35" s="60" t="s">
        <v>52</v>
      </c>
    </row>
    <row r="36" spans="1:18" ht="135" hidden="1">
      <c r="A36" s="62" t="s">
        <v>174</v>
      </c>
      <c r="B36" s="57" t="s">
        <v>175</v>
      </c>
      <c r="C36" s="57">
        <v>0</v>
      </c>
      <c r="D36" s="199">
        <v>0</v>
      </c>
      <c r="F36" s="197" t="s">
        <v>176</v>
      </c>
      <c r="G36" s="57" t="s">
        <v>177</v>
      </c>
      <c r="H36" s="198" t="s">
        <v>178</v>
      </c>
      <c r="I36" s="58">
        <f>(B4+11*I22)/1000+I39*I22/1000</f>
        <v>65308.639999999999</v>
      </c>
      <c r="J36" s="63" t="s">
        <v>81</v>
      </c>
      <c r="L36" s="62" t="s">
        <v>179</v>
      </c>
      <c r="M36" s="57" t="s">
        <v>180</v>
      </c>
      <c r="N36" s="57">
        <v>52</v>
      </c>
      <c r="O36" s="58">
        <v>52</v>
      </c>
      <c r="P36" s="63" t="s">
        <v>181</v>
      </c>
    </row>
    <row r="37" spans="1:18" ht="81" hidden="1">
      <c r="A37" s="62" t="s">
        <v>182</v>
      </c>
      <c r="B37" s="57" t="s">
        <v>175</v>
      </c>
      <c r="C37" s="57">
        <v>0</v>
      </c>
      <c r="D37" s="199">
        <v>0</v>
      </c>
      <c r="F37" s="197" t="s">
        <v>183</v>
      </c>
      <c r="G37" s="57" t="s">
        <v>184</v>
      </c>
      <c r="H37" s="57" t="s">
        <v>185</v>
      </c>
      <c r="I37" s="58" t="str">
        <f>IF(O24="U3",B17*O39/1000000,"-")</f>
        <v>-</v>
      </c>
      <c r="J37" s="63" t="s">
        <v>186</v>
      </c>
      <c r="L37" s="62" t="s">
        <v>187</v>
      </c>
      <c r="M37" s="57" t="s">
        <v>188</v>
      </c>
      <c r="N37" s="57" t="s">
        <v>189</v>
      </c>
      <c r="O37" s="58">
        <f>IF(B5=1,36,32)</f>
        <v>32</v>
      </c>
      <c r="P37" s="63" t="s">
        <v>181</v>
      </c>
    </row>
    <row r="38" spans="1:18" ht="81" hidden="1">
      <c r="A38" s="90" t="s">
        <v>190</v>
      </c>
      <c r="B38" s="91" t="s">
        <v>175</v>
      </c>
      <c r="C38" s="91">
        <v>0</v>
      </c>
      <c r="D38" s="204">
        <v>0</v>
      </c>
      <c r="F38" s="200" t="s">
        <v>191</v>
      </c>
      <c r="G38" s="23" t="s">
        <v>192</v>
      </c>
      <c r="H38" s="23" t="s">
        <v>193</v>
      </c>
      <c r="J38" s="67" t="s">
        <v>194</v>
      </c>
      <c r="L38" s="62" t="s">
        <v>195</v>
      </c>
      <c r="M38" s="57" t="s">
        <v>196</v>
      </c>
      <c r="N38" s="57" t="s">
        <v>197</v>
      </c>
      <c r="O38" s="58">
        <f>B2*B3*IF(B5=8,1,2)</f>
        <v>12288000</v>
      </c>
      <c r="P38" s="63" t="s">
        <v>181</v>
      </c>
    </row>
    <row r="39" spans="1:18" ht="337.5" hidden="1">
      <c r="A39" s="244" t="s">
        <v>198</v>
      </c>
      <c r="B39" s="245"/>
      <c r="C39" s="245"/>
      <c r="D39" s="246"/>
      <c r="F39" s="47" t="s">
        <v>199</v>
      </c>
      <c r="G39" s="22" t="s">
        <v>200</v>
      </c>
      <c r="H39" s="22" t="s">
        <v>201</v>
      </c>
      <c r="I39" s="43">
        <f>IF(OR(O23="IMX253",O23="IMX255"),41,IF(OR(O23="IMX304",O23="IMX267"),21,"-"))+B3</f>
        <v>3021</v>
      </c>
      <c r="J39" s="216" t="s">
        <v>108</v>
      </c>
      <c r="L39" s="62" t="s">
        <v>202</v>
      </c>
      <c r="M39" s="57" t="s">
        <v>203</v>
      </c>
      <c r="N39" s="57" t="s">
        <v>204</v>
      </c>
      <c r="O39" s="58">
        <f>O36+O37+O38+(8+16*D36+16*D37)*D38</f>
        <v>12288084</v>
      </c>
      <c r="P39" s="63" t="s">
        <v>181</v>
      </c>
    </row>
    <row r="40" spans="1:18" ht="121.5" hidden="1">
      <c r="A40" s="62" t="s">
        <v>205</v>
      </c>
      <c r="B40" s="57" t="s">
        <v>206</v>
      </c>
      <c r="C40" s="57">
        <v>0</v>
      </c>
      <c r="D40" s="199">
        <v>0</v>
      </c>
      <c r="F40" s="200" t="s">
        <v>207</v>
      </c>
      <c r="G40" s="205" t="s">
        <v>208</v>
      </c>
      <c r="H40" s="23" t="s">
        <v>209</v>
      </c>
      <c r="I40" s="44">
        <f>12500*B11*(100-B12)</f>
        <v>1125000000</v>
      </c>
      <c r="J40" s="67"/>
      <c r="L40" s="62" t="s">
        <v>210</v>
      </c>
      <c r="M40" s="57" t="s">
        <v>143</v>
      </c>
      <c r="N40" s="57" t="s">
        <v>211</v>
      </c>
      <c r="O40" s="58">
        <f>ROUNDUP((MAX((O39*1000000/D41)*D40,O39*10/O33)*1000/I22),0)</f>
        <v>5163</v>
      </c>
      <c r="P40" s="63" t="s">
        <v>108</v>
      </c>
      <c r="R40" s="68"/>
    </row>
    <row r="41" spans="1:18" ht="324" hidden="1">
      <c r="A41" s="62" t="s">
        <v>212</v>
      </c>
      <c r="B41" s="57" t="s">
        <v>213</v>
      </c>
      <c r="C41" s="57">
        <v>300000000</v>
      </c>
      <c r="D41" s="199">
        <v>350000000</v>
      </c>
      <c r="F41" s="206" t="s">
        <v>214</v>
      </c>
      <c r="G41" s="207" t="s">
        <v>215</v>
      </c>
      <c r="H41" s="106" t="s">
        <v>216</v>
      </c>
      <c r="I41" s="219">
        <f>((62+(B6-36))*O60+62+O61+168)+(B7+12)*(O60+3)</f>
        <v>12909348</v>
      </c>
      <c r="J41" s="220"/>
      <c r="L41" s="233" t="s">
        <v>217</v>
      </c>
      <c r="M41" s="234"/>
      <c r="N41" s="234"/>
      <c r="O41" s="234"/>
      <c r="P41" s="235"/>
      <c r="R41" s="68"/>
    </row>
    <row r="42" spans="1:18" ht="27" hidden="1">
      <c r="A42" s="236" t="s">
        <v>218</v>
      </c>
      <c r="B42" s="237"/>
      <c r="C42" s="237"/>
      <c r="D42" s="238"/>
      <c r="F42" s="208"/>
      <c r="L42" s="32" t="s">
        <v>48</v>
      </c>
      <c r="M42" s="20" t="s">
        <v>49</v>
      </c>
      <c r="N42" s="20" t="s">
        <v>50</v>
      </c>
      <c r="O42" s="20" t="s">
        <v>61</v>
      </c>
      <c r="P42" s="60" t="s">
        <v>52</v>
      </c>
      <c r="R42" s="68"/>
    </row>
    <row r="43" spans="1:18" ht="27" hidden="1">
      <c r="A43" s="62" t="s">
        <v>219</v>
      </c>
      <c r="B43" s="57" t="s">
        <v>220</v>
      </c>
      <c r="C43" s="209" t="s">
        <v>84</v>
      </c>
      <c r="F43" s="208"/>
      <c r="L43" s="62" t="s">
        <v>221</v>
      </c>
      <c r="M43" s="57" t="s">
        <v>222</v>
      </c>
      <c r="N43" s="57" t="s">
        <v>223</v>
      </c>
      <c r="O43" s="58">
        <v>7</v>
      </c>
      <c r="P43" s="63" t="s">
        <v>181</v>
      </c>
      <c r="R43" s="68"/>
    </row>
    <row r="44" spans="1:18" ht="81" hidden="1">
      <c r="A44" s="62" t="s">
        <v>32</v>
      </c>
      <c r="B44" s="57" t="s">
        <v>224</v>
      </c>
      <c r="C44" s="209">
        <v>1500</v>
      </c>
      <c r="F44" s="208"/>
      <c r="L44" s="62" t="s">
        <v>225</v>
      </c>
      <c r="M44" s="57" t="s">
        <v>226</v>
      </c>
      <c r="N44" s="57" t="s">
        <v>227</v>
      </c>
      <c r="O44" s="58">
        <v>1</v>
      </c>
      <c r="P44" s="63" t="s">
        <v>181</v>
      </c>
      <c r="R44" s="68"/>
    </row>
    <row r="45" spans="1:18" ht="40.5" hidden="1">
      <c r="A45" s="62" t="s">
        <v>33</v>
      </c>
      <c r="B45" s="57" t="str">
        <f>"包间隔(不包括12B最小值的部分 范围:0-"&amp;B8</f>
        <v>包间隔(不包括12B最小值的部分 范围:0-132454</v>
      </c>
      <c r="C45" s="209">
        <v>0</v>
      </c>
      <c r="F45" s="208"/>
      <c r="L45" s="62" t="s">
        <v>228</v>
      </c>
      <c r="M45" s="57" t="s">
        <v>229</v>
      </c>
      <c r="N45" s="57" t="s">
        <v>230</v>
      </c>
      <c r="O45" s="58">
        <v>14</v>
      </c>
      <c r="P45" s="63" t="s">
        <v>181</v>
      </c>
      <c r="R45" s="68"/>
    </row>
    <row r="46" spans="1:18" ht="27" hidden="1">
      <c r="A46" s="210" t="s">
        <v>231</v>
      </c>
      <c r="B46" s="205" t="s">
        <v>232</v>
      </c>
      <c r="C46" s="211">
        <v>180000</v>
      </c>
      <c r="F46" s="208"/>
      <c r="L46" s="62" t="s">
        <v>233</v>
      </c>
      <c r="M46" s="57" t="s">
        <v>234</v>
      </c>
      <c r="N46" s="57" t="s">
        <v>235</v>
      </c>
      <c r="O46" s="58">
        <v>20</v>
      </c>
      <c r="P46" s="63" t="s">
        <v>181</v>
      </c>
      <c r="R46" s="68"/>
    </row>
    <row r="47" spans="1:18" ht="40.5" hidden="1">
      <c r="A47" s="62" t="s">
        <v>38</v>
      </c>
      <c r="B47" s="57" t="str">
        <f>"预留带宽 范围:0-"&amp;B13</f>
        <v>预留带宽 范围:0-98</v>
      </c>
      <c r="C47" s="209">
        <v>10</v>
      </c>
      <c r="F47" s="208"/>
      <c r="L47" s="62" t="s">
        <v>236</v>
      </c>
      <c r="M47" s="57" t="s">
        <v>237</v>
      </c>
      <c r="N47" s="57" t="s">
        <v>238</v>
      </c>
      <c r="O47" s="58">
        <v>8</v>
      </c>
      <c r="P47" s="63" t="s">
        <v>181</v>
      </c>
      <c r="R47" s="68"/>
    </row>
    <row r="48" spans="1:18" ht="81" hidden="1">
      <c r="A48" s="212" t="s">
        <v>239</v>
      </c>
      <c r="B48" s="207" t="s">
        <v>240</v>
      </c>
      <c r="C48" s="213">
        <v>99</v>
      </c>
      <c r="F48" s="208"/>
      <c r="L48" s="62" t="s">
        <v>241</v>
      </c>
      <c r="M48" s="57" t="s">
        <v>242</v>
      </c>
      <c r="N48" s="57" t="s">
        <v>238</v>
      </c>
      <c r="O48" s="58">
        <v>8</v>
      </c>
      <c r="P48" s="63" t="s">
        <v>181</v>
      </c>
      <c r="R48" s="68"/>
    </row>
    <row r="49" spans="1:18" ht="27" hidden="1">
      <c r="A49" s="239" t="s">
        <v>243</v>
      </c>
      <c r="B49" s="240"/>
      <c r="C49" s="240"/>
      <c r="D49" s="241"/>
      <c r="F49" s="208"/>
      <c r="L49" s="62" t="s">
        <v>244</v>
      </c>
      <c r="M49" s="57" t="s">
        <v>245</v>
      </c>
      <c r="N49" s="57" t="s">
        <v>246</v>
      </c>
      <c r="O49" s="58">
        <v>4</v>
      </c>
      <c r="P49" s="63" t="s">
        <v>181</v>
      </c>
      <c r="R49" s="68"/>
    </row>
    <row r="50" spans="1:18" ht="40.5" hidden="1">
      <c r="A50" s="62" t="s">
        <v>247</v>
      </c>
      <c r="B50" s="57" t="s">
        <v>248</v>
      </c>
      <c r="C50" s="57">
        <v>0</v>
      </c>
      <c r="F50" s="208"/>
      <c r="L50" s="62" t="s">
        <v>249</v>
      </c>
      <c r="M50" s="57" t="s">
        <v>250</v>
      </c>
      <c r="N50" s="57" t="s">
        <v>251</v>
      </c>
      <c r="O50" s="58">
        <v>12</v>
      </c>
      <c r="P50" s="63" t="s">
        <v>181</v>
      </c>
      <c r="R50" s="68"/>
    </row>
    <row r="51" spans="1:18" ht="135" hidden="1">
      <c r="A51" s="62" t="s">
        <v>252</v>
      </c>
      <c r="B51" s="57" t="s">
        <v>253</v>
      </c>
      <c r="C51" s="57">
        <f>IF(O24="U3",IF(B5=8,IF(O23="IMX253",32,IF(O23="IMX255",44,IF(O23="IMX304",23,IF(O23="IMX267",32,"-")))),IF(O23="IMX253",16,IF(O23="IMX255",22,IF(O23="IMX304",12,IF(O23="IMX267",16,"-"))))),IF(O24="GIGE",IF(B5=8,IF(O23="IMX253",9,IF(O23="IMX255",12,IF(O23="IMX304",9,IF(O23="IMX267",12,"-")))),IF(O23="IMX253",4.5,IF(O23="IMX255",6,IF(O23="IMX304",4.5,IF(O23="IMX267",6,"-")))))))</f>
        <v>9</v>
      </c>
      <c r="F51" s="208"/>
      <c r="L51" s="62" t="s">
        <v>254</v>
      </c>
      <c r="M51" s="23" t="s">
        <v>255</v>
      </c>
      <c r="N51" s="57" t="s">
        <v>256</v>
      </c>
      <c r="O51" s="58">
        <f>O46+O47+O48</f>
        <v>36</v>
      </c>
      <c r="P51" s="63" t="s">
        <v>181</v>
      </c>
      <c r="R51" s="68"/>
    </row>
    <row r="52" spans="1:18" ht="108" hidden="1">
      <c r="F52" s="208"/>
      <c r="L52" s="62" t="s">
        <v>257</v>
      </c>
      <c r="M52" s="23" t="s">
        <v>258</v>
      </c>
      <c r="N52" s="57" t="s">
        <v>259</v>
      </c>
      <c r="O52" s="58">
        <f>O43+O44+O45+O49</f>
        <v>26</v>
      </c>
      <c r="P52" s="63" t="s">
        <v>181</v>
      </c>
      <c r="R52" s="68"/>
    </row>
    <row r="53" spans="1:18" ht="54" hidden="1">
      <c r="F53" s="208"/>
      <c r="L53" s="221" t="s">
        <v>260</v>
      </c>
      <c r="M53" s="222" t="s">
        <v>261</v>
      </c>
      <c r="N53" s="222" t="s">
        <v>262</v>
      </c>
      <c r="O53" s="223">
        <f>64-O45-O49-O51</f>
        <v>10</v>
      </c>
      <c r="P53" s="224" t="s">
        <v>181</v>
      </c>
      <c r="R53" s="68"/>
    </row>
    <row r="54" spans="1:18" ht="13.5" hidden="1" customHeight="1">
      <c r="A54" s="31"/>
      <c r="B54" s="31"/>
      <c r="C54" s="31"/>
      <c r="D54" s="31"/>
      <c r="F54" s="208"/>
      <c r="L54" s="233" t="s">
        <v>263</v>
      </c>
      <c r="M54" s="234"/>
      <c r="N54" s="234"/>
      <c r="O54" s="234"/>
      <c r="P54" s="235"/>
      <c r="R54" s="68"/>
    </row>
    <row r="55" spans="1:18" ht="27" hidden="1">
      <c r="A55" s="31"/>
      <c r="B55" s="31"/>
      <c r="C55" s="31"/>
      <c r="D55" s="31"/>
      <c r="F55" s="208"/>
      <c r="L55" s="32" t="s">
        <v>48</v>
      </c>
      <c r="M55" s="20" t="s">
        <v>49</v>
      </c>
      <c r="N55" s="20" t="s">
        <v>50</v>
      </c>
      <c r="O55" s="20" t="s">
        <v>61</v>
      </c>
      <c r="P55" s="60" t="s">
        <v>52</v>
      </c>
    </row>
    <row r="56" spans="1:18" ht="67.5" hidden="1">
      <c r="A56" s="31"/>
      <c r="B56" s="31"/>
      <c r="C56" s="31"/>
      <c r="D56" s="31"/>
      <c r="F56" s="208"/>
      <c r="L56" s="62" t="s">
        <v>179</v>
      </c>
      <c r="M56" s="57" t="s">
        <v>264</v>
      </c>
      <c r="N56" s="57" t="s">
        <v>265</v>
      </c>
      <c r="O56" s="58">
        <f>IF(D38=0,36,12)</f>
        <v>36</v>
      </c>
      <c r="P56" s="63" t="s">
        <v>181</v>
      </c>
    </row>
    <row r="57" spans="1:18" ht="81" hidden="1">
      <c r="A57" s="31"/>
      <c r="B57" s="31"/>
      <c r="C57" s="31"/>
      <c r="D57" s="31"/>
      <c r="F57" s="208"/>
      <c r="L57" s="62" t="s">
        <v>187</v>
      </c>
      <c r="M57" s="57" t="s">
        <v>266</v>
      </c>
      <c r="N57" s="57" t="s">
        <v>267</v>
      </c>
      <c r="O57" s="58">
        <v>10</v>
      </c>
      <c r="P57" s="63" t="s">
        <v>181</v>
      </c>
    </row>
    <row r="58" spans="1:18" ht="67.5" hidden="1">
      <c r="F58" s="208"/>
      <c r="L58" s="62" t="s">
        <v>195</v>
      </c>
      <c r="M58" s="57" t="s">
        <v>268</v>
      </c>
      <c r="N58" s="57" t="s">
        <v>197</v>
      </c>
      <c r="O58" s="58">
        <f>B2*B3*IF(B5=8,1,2)</f>
        <v>12288000</v>
      </c>
      <c r="P58" s="63" t="s">
        <v>181</v>
      </c>
    </row>
    <row r="59" spans="1:18" ht="81" hidden="1">
      <c r="F59" s="208"/>
      <c r="L59" s="62" t="s">
        <v>269</v>
      </c>
      <c r="M59" s="57" t="s">
        <v>270</v>
      </c>
      <c r="N59" s="57" t="s">
        <v>271</v>
      </c>
      <c r="O59" s="58">
        <f>O58+32*D38</f>
        <v>12288000</v>
      </c>
      <c r="P59" s="63" t="s">
        <v>181</v>
      </c>
    </row>
    <row r="60" spans="1:18" ht="54" hidden="1">
      <c r="F60" s="208"/>
      <c r="L60" s="62" t="s">
        <v>272</v>
      </c>
      <c r="M60" s="57" t="s">
        <v>273</v>
      </c>
      <c r="N60" s="57" t="s">
        <v>274</v>
      </c>
      <c r="O60" s="73">
        <f>INT(O59/(B6-O51))</f>
        <v>8393</v>
      </c>
      <c r="P60" s="63"/>
    </row>
    <row r="61" spans="1:18" ht="54" hidden="1">
      <c r="F61" s="208"/>
      <c r="L61" s="62" t="s">
        <v>275</v>
      </c>
      <c r="M61" s="57" t="s">
        <v>276</v>
      </c>
      <c r="N61" s="57" t="s">
        <v>277</v>
      </c>
      <c r="O61" s="73">
        <f>O59-(B6-O51)*O60</f>
        <v>648</v>
      </c>
      <c r="P61" s="63" t="s">
        <v>181</v>
      </c>
    </row>
    <row r="62" spans="1:18" ht="54" hidden="1">
      <c r="F62" s="208"/>
      <c r="L62" s="62" t="s">
        <v>278</v>
      </c>
      <c r="M62" s="57" t="s">
        <v>279</v>
      </c>
      <c r="N62" s="57" t="s">
        <v>280</v>
      </c>
      <c r="O62" s="58">
        <f>IF(MOD(O58,(B6-O51))=0,0,1)</f>
        <v>1</v>
      </c>
      <c r="P62" s="63"/>
    </row>
    <row r="63" spans="1:18" ht="135" hidden="1">
      <c r="F63" s="208"/>
      <c r="L63" s="62" t="s">
        <v>281</v>
      </c>
      <c r="M63" s="57" t="s">
        <v>282</v>
      </c>
      <c r="N63" s="57" t="s">
        <v>283</v>
      </c>
      <c r="O63" s="73">
        <f>IF(O61&lt;O53,O53,O61)</f>
        <v>648</v>
      </c>
      <c r="P63" s="63" t="s">
        <v>181</v>
      </c>
    </row>
    <row r="64" spans="1:18" ht="162" hidden="1">
      <c r="F64" s="208"/>
      <c r="L64" s="62" t="s">
        <v>284</v>
      </c>
      <c r="M64" s="57" t="s">
        <v>285</v>
      </c>
      <c r="N64" s="57" t="s">
        <v>286</v>
      </c>
      <c r="O64" s="73">
        <f>O52+O51+O56</f>
        <v>98</v>
      </c>
      <c r="P64" s="63" t="s">
        <v>181</v>
      </c>
    </row>
    <row r="65" spans="6:16" ht="175.5" hidden="1">
      <c r="F65" s="208"/>
      <c r="L65" s="62" t="s">
        <v>287</v>
      </c>
      <c r="M65" s="57" t="s">
        <v>288</v>
      </c>
      <c r="N65" s="57" t="s">
        <v>286</v>
      </c>
      <c r="O65" s="73">
        <f>O52+O51+O57</f>
        <v>72</v>
      </c>
      <c r="P65" s="63" t="s">
        <v>181</v>
      </c>
    </row>
    <row r="66" spans="6:16" ht="175.5" hidden="1">
      <c r="F66" s="208"/>
      <c r="L66" s="62" t="s">
        <v>289</v>
      </c>
      <c r="M66" s="57" t="s">
        <v>290</v>
      </c>
      <c r="N66" s="57" t="s">
        <v>291</v>
      </c>
      <c r="O66" s="73">
        <f>O60*(B6+O52)+O62*(O63+O52+O51)</f>
        <v>12808428</v>
      </c>
      <c r="P66" s="63" t="s">
        <v>181</v>
      </c>
    </row>
    <row r="67" spans="6:16" ht="297" hidden="1">
      <c r="F67" s="208"/>
      <c r="L67" s="62" t="s">
        <v>292</v>
      </c>
      <c r="M67" s="57" t="s">
        <v>293</v>
      </c>
      <c r="N67" s="57" t="s">
        <v>294</v>
      </c>
      <c r="O67" s="73">
        <f>(2+O62+O60)*(B7+O50)</f>
        <v>100752</v>
      </c>
      <c r="P67" s="63" t="s">
        <v>181</v>
      </c>
    </row>
    <row r="68" spans="6:16" ht="135" hidden="1">
      <c r="F68" s="208"/>
      <c r="L68" s="62" t="s">
        <v>202</v>
      </c>
      <c r="M68" s="57" t="s">
        <v>295</v>
      </c>
      <c r="N68" s="22" t="s">
        <v>296</v>
      </c>
      <c r="O68" s="58">
        <f>O64+O65+O66+O67</f>
        <v>12909350</v>
      </c>
      <c r="P68" s="63" t="s">
        <v>181</v>
      </c>
    </row>
    <row r="69" spans="6:16" ht="67.5" hidden="1">
      <c r="F69" s="208"/>
      <c r="L69" s="25" t="s">
        <v>297</v>
      </c>
      <c r="M69" s="22" t="s">
        <v>298</v>
      </c>
      <c r="N69" s="22" t="s">
        <v>299</v>
      </c>
      <c r="O69" s="43">
        <f>INT(B11*(100-B12)/80)</f>
        <v>1125</v>
      </c>
      <c r="P69" s="40" t="s">
        <v>300</v>
      </c>
    </row>
    <row r="70" spans="6:16" ht="67.5" hidden="1">
      <c r="F70" s="208"/>
      <c r="L70" s="25" t="s">
        <v>301</v>
      </c>
      <c r="M70" s="22" t="s">
        <v>302</v>
      </c>
      <c r="N70" s="22" t="s">
        <v>303</v>
      </c>
      <c r="O70" s="43">
        <f>ROUNDUP(ROUNDUP(O68*1000/O69,0)*10/I22,0)</f>
        <v>5333</v>
      </c>
      <c r="P70" s="40" t="s">
        <v>108</v>
      </c>
    </row>
    <row r="71" spans="6:16" ht="81" hidden="1">
      <c r="F71" s="208"/>
      <c r="L71" s="25" t="s">
        <v>304</v>
      </c>
      <c r="M71" s="22" t="s">
        <v>305</v>
      </c>
      <c r="N71" s="22" t="s">
        <v>306</v>
      </c>
      <c r="O71" s="43">
        <f>ROUNDUP((O59+O56+O57)*10*1000/O33/I22,0)</f>
        <v>5163</v>
      </c>
      <c r="P71" s="40" t="s">
        <v>108</v>
      </c>
    </row>
    <row r="72" spans="6:16" ht="67.5" hidden="1">
      <c r="F72" s="208"/>
      <c r="L72" s="104" t="s">
        <v>307</v>
      </c>
      <c r="M72" s="52" t="s">
        <v>143</v>
      </c>
      <c r="N72" s="52" t="s">
        <v>308</v>
      </c>
      <c r="O72" s="53">
        <f>MAX(O70,O71)</f>
        <v>5333</v>
      </c>
      <c r="P72" s="54" t="s">
        <v>108</v>
      </c>
    </row>
    <row r="73" spans="6:16" hidden="1">
      <c r="F73" s="208"/>
    </row>
    <row r="74" spans="6:16" hidden="1">
      <c r="F74" s="208"/>
    </row>
    <row r="75" spans="6:16" hidden="1"/>
    <row r="76" spans="6:16" hidden="1"/>
  </sheetData>
  <sheetProtection algorithmName="SHA-512" hashValue="+1ecXECWmDDui2Ta0zrgowP79aHYudzXJqSbrakKZoG6k3aeJvLy4ipS4zXYYftdUgfyHDraVgDRtUqldgxpaQ==" saltValue="TLwNFIROaUp3/SY0DNkqsA==" spinCount="100000" sheet="1" objects="1" scenarios="1"/>
  <mergeCells count="23">
    <mergeCell ref="V22:V23"/>
    <mergeCell ref="V24:V25"/>
    <mergeCell ref="F19:J19"/>
    <mergeCell ref="L19:P19"/>
    <mergeCell ref="A20:D20"/>
    <mergeCell ref="L20:P20"/>
    <mergeCell ref="F21:J21"/>
    <mergeCell ref="L41:P41"/>
    <mergeCell ref="A42:D42"/>
    <mergeCell ref="A49:D49"/>
    <mergeCell ref="L54:P54"/>
    <mergeCell ref="S22:S23"/>
    <mergeCell ref="S24:S25"/>
    <mergeCell ref="A30:D30"/>
    <mergeCell ref="F32:J32"/>
    <mergeCell ref="L34:P34"/>
    <mergeCell ref="A35:D35"/>
    <mergeCell ref="A39:D39"/>
    <mergeCell ref="A22:D22"/>
    <mergeCell ref="A24:D24"/>
    <mergeCell ref="F25:J25"/>
    <mergeCell ref="A27:D27"/>
    <mergeCell ref="R27:V27"/>
  </mergeCells>
  <phoneticPr fontId="16" type="noConversion"/>
  <dataValidations count="17">
    <dataValidation type="custom" allowBlank="1" showInputMessage="1" showErrorMessage="1" error="input range is 0.1~10000.0,accurate to one decimal" sqref="B9">
      <formula1>AND(TRUNC(B9,1)=B9,(B9&gt;=0.1),(B9&lt;=10000))</formula1>
    </dataValidation>
    <dataValidation type="custom" allowBlank="1" showInputMessage="1" showErrorMessage="1" errorTitle="Invalid input value" error="minimum value  is 64,maximum value is 4096,step is 4" sqref="B2">
      <formula1>AND((B2&lt;=4096),(B2&gt;=64),(MOD(B2,4)=0))</formula1>
    </dataValidation>
    <dataValidation allowBlank="1" showInputMessage="1" showErrorMessage="1" error="输入范围是64~1024，步长为2" sqref="A1:B1"/>
    <dataValidation type="whole" allowBlank="1" showInputMessage="1" showErrorMessage="1" sqref="D41">
      <formula1>35000000</formula1>
      <formula2>400000000</formula2>
    </dataValidation>
    <dataValidation type="custom" allowBlank="1" showInputMessage="1" showErrorMessage="1" errorTitle="Invalid input value" error="input range is 64~3000,step is 2" sqref="B3">
      <formula1>AND((B3&lt;=3000),(B3&gt;=64),(MOD(B3,2)=0))</formula1>
    </dataValidation>
    <dataValidation type="custom" allowBlank="1" showInputMessage="1" showErrorMessage="1" error="please input 8 or 12" sqref="B5">
      <formula1>OR((B5=8),(B5=12))</formula1>
    </dataValidation>
    <dataValidation type="whole" allowBlank="1" showInputMessage="1" showErrorMessage="1" errorTitle="out of range " error="input range is 36us-1s" sqref="B4">
      <formula1>36</formula1>
      <formula2>1000000</formula2>
    </dataValidation>
    <dataValidation type="whole" allowBlank="1" showInputMessage="1" showErrorMessage="1" error="input range is 0~GevSCPDMaxValue" sqref="B7">
      <formula1>0</formula1>
      <formula2>B8</formula2>
    </dataValidation>
    <dataValidation type="custom" allowBlank="1" showInputMessage="1" showErrorMessage="1" error="input range is 512~8192,step is 4" sqref="B6">
      <formula1>AND((B6&lt;=8192),(B6&gt;=512),(MOD(B6,4)=0))</formula1>
    </dataValidation>
    <dataValidation type="list" allowBlank="1" showInputMessage="1" showErrorMessage="1" errorTitle="out of range " error="please input 0 or 1" sqref="B10">
      <formula1>"0,1"</formula1>
    </dataValidation>
    <dataValidation type="custom" allowBlank="1" showInputMessage="1" showErrorMessage="1" error="please input 1000 or 100" sqref="B11">
      <formula1>OR((B11=1000),(B11=100))</formula1>
    </dataValidation>
    <dataValidation type="list" allowBlank="1" showInputMessage="1" showErrorMessage="1" sqref="C19">
      <formula1>"mars-1230-9gx,mars-880-13gx,mars-1230-23u3x,mars-1231-32u3x,mars-880-32u3x,mars-881-44u3x"</formula1>
    </dataValidation>
    <dataValidation type="whole" allowBlank="1" showInputMessage="1" showErrorMessage="1" sqref="B12">
      <formula1>0</formula1>
      <formula2>B13</formula2>
    </dataValidation>
    <dataValidation type="whole" allowBlank="1" showInputMessage="1" showErrorMessage="1" errorTitle="超出范围" error="曝光延迟的范围是0-5000us" sqref="D26">
      <formula1>0</formula1>
      <formula2>5000</formula2>
    </dataValidation>
    <dataValidation type="list" allowBlank="1" showInputMessage="1" showErrorMessage="1" errorTitle="超出范围" error="0:关闭_x000a_1:打开" sqref="D40">
      <formula1>"0,1"</formula1>
    </dataValidation>
    <dataValidation type="whole" allowBlank="1" showInputMessage="1" showErrorMessage="1" errorTitle="超出范围" error="触发延时的范围是0-3000000us" sqref="D28:D29">
      <formula1>0</formula1>
      <formula2>3000000</formula2>
    </dataValidation>
    <dataValidation type="list" allowBlank="1" showInputMessage="1" showErrorMessage="1" sqref="D36:D38">
      <formula1>"0,1"</formula1>
    </dataValidation>
  </dataValidation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77"/>
  <sheetViews>
    <sheetView workbookViewId="0">
      <selection activeCell="B8" sqref="B8"/>
    </sheetView>
  </sheetViews>
  <sheetFormatPr defaultColWidth="9" defaultRowHeight="13.5"/>
  <cols>
    <col min="1" max="1" width="29" style="1" customWidth="1"/>
    <col min="2" max="2" width="19" style="1" customWidth="1"/>
    <col min="3" max="3" width="10" style="1" customWidth="1"/>
    <col min="4" max="8" width="6.125" style="1" customWidth="1"/>
    <col min="9" max="9" width="15.125" style="1" customWidth="1"/>
    <col min="10" max="10" width="26" style="1" customWidth="1"/>
    <col min="11" max="11" width="13.25" style="1" customWidth="1"/>
    <col min="12" max="12" width="7.5" style="1" customWidth="1"/>
    <col min="13" max="13" width="4.5" style="1" customWidth="1"/>
    <col min="14" max="14" width="19.625" style="1" customWidth="1"/>
    <col min="15" max="15" width="29" style="1" customWidth="1"/>
    <col min="16" max="16" width="10.125" style="1" customWidth="1"/>
    <col min="17" max="17" width="9.625" style="1" customWidth="1"/>
    <col min="18" max="18" width="4.875" style="1" customWidth="1"/>
    <col min="19" max="19" width="14.5" style="1" customWidth="1"/>
    <col min="20" max="20" width="22.5" style="1" customWidth="1"/>
    <col min="21" max="22" width="9" style="1" customWidth="1"/>
    <col min="23" max="16384" width="9" style="1"/>
  </cols>
  <sheetData>
    <row r="1" spans="1:2" ht="13.5" customHeight="1">
      <c r="A1" s="2"/>
      <c r="B1" s="3"/>
    </row>
    <row r="2" spans="1:2">
      <c r="A2" s="2" t="s">
        <v>28</v>
      </c>
      <c r="B2" s="192">
        <v>4096</v>
      </c>
    </row>
    <row r="3" spans="1:2" ht="18" customHeight="1">
      <c r="A3" s="2" t="s">
        <v>29</v>
      </c>
      <c r="B3" s="192">
        <v>2160</v>
      </c>
    </row>
    <row r="4" spans="1:2" ht="20.25" customHeight="1">
      <c r="A4" s="2" t="s">
        <v>30</v>
      </c>
      <c r="B4" s="192">
        <v>60000</v>
      </c>
    </row>
    <row r="5" spans="1:2" ht="19.5" customHeight="1">
      <c r="A5" s="2" t="s">
        <v>31</v>
      </c>
      <c r="B5" s="192">
        <v>8</v>
      </c>
    </row>
    <row r="6" spans="1:2" ht="18.75" customHeight="1">
      <c r="A6" s="2" t="s">
        <v>32</v>
      </c>
      <c r="B6" s="192">
        <v>1500</v>
      </c>
    </row>
    <row r="7" spans="1:2" ht="16.5" customHeight="1">
      <c r="A7" s="2" t="s">
        <v>33</v>
      </c>
      <c r="B7" s="192">
        <v>0</v>
      </c>
    </row>
    <row r="8" spans="1:2">
      <c r="A8" s="2" t="s">
        <v>34</v>
      </c>
      <c r="B8" s="193">
        <f>IF((ROUNDDOWN((I40-(62+B6-36)*O60-62-O61-170)/(O60+3),0)-12)&gt;180000,180000,ROUNDDOWN((I40-(62+B6-36)*O60-62-O61-170)/(O60+3),0)-12)</f>
        <v>180000</v>
      </c>
    </row>
    <row r="9" spans="1:2" ht="24" customHeight="1">
      <c r="A9" s="2" t="s">
        <v>35</v>
      </c>
      <c r="B9" s="192">
        <v>13</v>
      </c>
    </row>
    <row r="10" spans="1:2" ht="23.25" customHeight="1">
      <c r="A10" s="2" t="s">
        <v>36</v>
      </c>
      <c r="B10" s="192">
        <v>0</v>
      </c>
    </row>
    <row r="11" spans="1:2" ht="18.75" customHeight="1">
      <c r="A11" s="2" t="s">
        <v>37</v>
      </c>
      <c r="B11" s="192">
        <v>1000</v>
      </c>
    </row>
    <row r="12" spans="1:2" ht="19.5" customHeight="1">
      <c r="A12" s="2" t="s">
        <v>38</v>
      </c>
      <c r="B12" s="192">
        <v>10</v>
      </c>
    </row>
    <row r="13" spans="1:2">
      <c r="A13" s="2" t="s">
        <v>39</v>
      </c>
      <c r="B13" s="193">
        <f>IF((100-ROUNDDOWN(I41*10/(1250000*B11/10),0)-1)&lt;0,0,(100-ROUNDDOWN(I41*10/(1250000*B11/10),0)-1))</f>
        <v>99</v>
      </c>
    </row>
    <row r="14" spans="1:2" ht="14.25" hidden="1" customHeight="1">
      <c r="A14" s="2"/>
      <c r="B14" s="193">
        <f>IF(O24="GIGE",INT(INT(INT(INT(B2*INT(1000000000/I23)/10)*IF(B5=8,1,2)/10)*B3/10)*10/(100-B12))*10,"-")</f>
        <v>118957440</v>
      </c>
    </row>
    <row r="15" spans="1:2" ht="14.25" customHeight="1">
      <c r="A15" s="2"/>
      <c r="B15" s="193"/>
    </row>
    <row r="16" spans="1:2" ht="14.25" customHeight="1">
      <c r="A16" s="13"/>
      <c r="B16" s="194"/>
    </row>
    <row r="17" spans="1:23" ht="14.25" customHeight="1">
      <c r="A17" s="13" t="s">
        <v>40</v>
      </c>
      <c r="B17" s="195">
        <f>1000000/I23</f>
        <v>12.101116933092925</v>
      </c>
    </row>
    <row r="18" spans="1:23" ht="41.25" customHeight="1"/>
    <row r="19" spans="1:23" ht="40.5" hidden="1">
      <c r="A19" s="15" t="s">
        <v>41</v>
      </c>
      <c r="B19" s="15" t="s">
        <v>42</v>
      </c>
      <c r="C19" s="16" t="s">
        <v>309</v>
      </c>
      <c r="D19" s="31"/>
      <c r="F19" s="249" t="s">
        <v>44</v>
      </c>
      <c r="G19" s="250"/>
      <c r="H19" s="250"/>
      <c r="I19" s="250"/>
      <c r="J19" s="251"/>
      <c r="L19" s="249" t="s">
        <v>45</v>
      </c>
      <c r="M19" s="250"/>
      <c r="N19" s="250"/>
      <c r="O19" s="250"/>
      <c r="P19" s="251"/>
      <c r="R19" s="36" t="s">
        <v>46</v>
      </c>
      <c r="S19" s="21"/>
      <c r="T19" s="21"/>
      <c r="U19" s="21"/>
      <c r="V19" s="37"/>
      <c r="W19" s="225"/>
    </row>
    <row r="20" spans="1:23" ht="27" hidden="1">
      <c r="A20" s="252" t="s">
        <v>47</v>
      </c>
      <c r="B20" s="253"/>
      <c r="C20" s="253"/>
      <c r="D20" s="254"/>
      <c r="F20" s="196" t="s">
        <v>48</v>
      </c>
      <c r="G20" s="20" t="s">
        <v>49</v>
      </c>
      <c r="H20" s="33" t="s">
        <v>50</v>
      </c>
      <c r="I20" s="20" t="s">
        <v>51</v>
      </c>
      <c r="J20" s="214" t="s">
        <v>52</v>
      </c>
      <c r="L20" s="233" t="s">
        <v>53</v>
      </c>
      <c r="M20" s="234"/>
      <c r="N20" s="234"/>
      <c r="O20" s="234"/>
      <c r="P20" s="235"/>
      <c r="R20" s="32" t="s">
        <v>54</v>
      </c>
      <c r="S20" s="20" t="s">
        <v>49</v>
      </c>
      <c r="T20" s="20" t="s">
        <v>55</v>
      </c>
      <c r="U20" s="20" t="s">
        <v>56</v>
      </c>
      <c r="V20" s="20" t="s">
        <v>50</v>
      </c>
      <c r="W20" s="35" t="s">
        <v>57</v>
      </c>
    </row>
    <row r="21" spans="1:23" ht="40.5" hidden="1">
      <c r="A21" s="32" t="s">
        <v>48</v>
      </c>
      <c r="B21" s="20" t="s">
        <v>49</v>
      </c>
      <c r="C21" s="20" t="s">
        <v>58</v>
      </c>
      <c r="D21" s="35" t="s">
        <v>59</v>
      </c>
      <c r="F21" s="233" t="s">
        <v>60</v>
      </c>
      <c r="G21" s="234"/>
      <c r="H21" s="234"/>
      <c r="I21" s="234"/>
      <c r="J21" s="235"/>
      <c r="L21" s="32" t="s">
        <v>48</v>
      </c>
      <c r="M21" s="20" t="s">
        <v>49</v>
      </c>
      <c r="N21" s="20" t="s">
        <v>50</v>
      </c>
      <c r="O21" s="20" t="s">
        <v>61</v>
      </c>
      <c r="P21" s="60" t="s">
        <v>52</v>
      </c>
      <c r="R21" s="62" t="s">
        <v>62</v>
      </c>
      <c r="S21" s="226" t="s">
        <v>63</v>
      </c>
      <c r="T21" s="57">
        <v>520</v>
      </c>
      <c r="U21" s="57" t="str">
        <f>"R"&amp;T21&amp;"(R0x"&amp;DEC2HEX(T21)&amp;")"</f>
        <v>R520(R0x208)</v>
      </c>
      <c r="V21" s="57" t="s">
        <v>64</v>
      </c>
      <c r="W21" s="227">
        <v>1</v>
      </c>
    </row>
    <row r="22" spans="1:23" ht="229.5" hidden="1">
      <c r="A22" s="236" t="s">
        <v>65</v>
      </c>
      <c r="B22" s="237"/>
      <c r="C22" s="237"/>
      <c r="D22" s="238"/>
      <c r="F22" s="197" t="s">
        <v>66</v>
      </c>
      <c r="G22" s="57" t="s">
        <v>67</v>
      </c>
      <c r="H22" s="198" t="s">
        <v>68</v>
      </c>
      <c r="I22" s="215">
        <f>ROUNDUP(1000000*O28/O22,0)</f>
        <v>21520</v>
      </c>
      <c r="J22" s="63" t="s">
        <v>69</v>
      </c>
      <c r="L22" s="62"/>
      <c r="M22" s="62" t="s">
        <v>70</v>
      </c>
      <c r="N22" s="62" t="s">
        <v>71</v>
      </c>
      <c r="O22" s="58">
        <v>37500</v>
      </c>
      <c r="P22" s="63" t="s">
        <v>72</v>
      </c>
      <c r="R22" s="62" t="s">
        <v>73</v>
      </c>
      <c r="S22" s="242" t="s">
        <v>74</v>
      </c>
      <c r="T22" s="57">
        <v>1298</v>
      </c>
      <c r="U22" s="57" t="str">
        <f>"R"&amp;T22&amp;"(R0x"&amp;DEC2HEX(T22)&amp;")"</f>
        <v>R1298(R0x512)</v>
      </c>
      <c r="V22" s="247" t="s">
        <v>75</v>
      </c>
      <c r="W22" s="227" t="str">
        <f>DEC2HEX(D32+O27-(HEX2DEC(W23)*256))</f>
        <v>8</v>
      </c>
    </row>
    <row r="23" spans="1:23" ht="81" hidden="1">
      <c r="A23" s="62" t="s">
        <v>76</v>
      </c>
      <c r="B23" s="57" t="s">
        <v>77</v>
      </c>
      <c r="C23" s="57">
        <v>8</v>
      </c>
      <c r="F23" s="197" t="s">
        <v>78</v>
      </c>
      <c r="G23" s="57" t="s">
        <v>79</v>
      </c>
      <c r="H23" s="198" t="s">
        <v>80</v>
      </c>
      <c r="I23" s="58">
        <f>ROUNDUP(MAX(I27,I28,I30,I31)*I22/1000,0)</f>
        <v>82637</v>
      </c>
      <c r="J23" s="63" t="s">
        <v>81</v>
      </c>
      <c r="L23" s="62" t="s">
        <v>82</v>
      </c>
      <c r="M23" s="62" t="s">
        <v>83</v>
      </c>
      <c r="N23" s="62" t="s">
        <v>84</v>
      </c>
      <c r="O23" s="58" t="str">
        <f>IF(C19="mars-1231-32u3x","IMX253",IF(OR(C19="mars-1230-9gx",C19="mars-1230-23u3x"),"IMX304",IF(C19="mars-881-44u3x","IMX255",IF(OR(C19="mars-880-13gx",C19="mars-880-32u3x"),"IMX267","-"))))</f>
        <v>IMX267</v>
      </c>
      <c r="P23" s="62" t="s">
        <v>84</v>
      </c>
      <c r="R23" s="62" t="s">
        <v>85</v>
      </c>
      <c r="S23" s="243"/>
      <c r="T23" s="57">
        <v>1299</v>
      </c>
      <c r="U23" s="57" t="str">
        <f>"R"&amp;T23&amp;"(R0x"&amp;DEC2HEX(T23)&amp;")"</f>
        <v>R1299(R0x513)</v>
      </c>
      <c r="V23" s="248"/>
      <c r="W23" s="227" t="str">
        <f>DEC2HEX(INT((D32+O27)/256))</f>
        <v>0</v>
      </c>
    </row>
    <row r="24" spans="1:23" ht="67.5" hidden="1">
      <c r="A24" s="236" t="s">
        <v>86</v>
      </c>
      <c r="B24" s="237"/>
      <c r="C24" s="237"/>
      <c r="D24" s="238"/>
      <c r="F24" s="197" t="s">
        <v>87</v>
      </c>
      <c r="G24" s="57" t="s">
        <v>60</v>
      </c>
      <c r="H24" s="198" t="s">
        <v>88</v>
      </c>
      <c r="J24" s="63" t="s">
        <v>89</v>
      </c>
      <c r="L24" s="62" t="s">
        <v>90</v>
      </c>
      <c r="M24" s="62" t="s">
        <v>91</v>
      </c>
      <c r="N24" s="62" t="s">
        <v>84</v>
      </c>
      <c r="O24" s="58" t="str">
        <f>IF(OR(C19="mars-1230-9gx",C19="mars-880-13gx"),"GIGE",IF(OR(C19="mars-1231-32u3x",C19="mars-1230-23u3x",C19="mars-881-44u3x",C19="mars-880-32u3x"),"U3","-"))</f>
        <v>GIGE</v>
      </c>
      <c r="P24" s="62" t="s">
        <v>84</v>
      </c>
      <c r="R24" s="62" t="s">
        <v>92</v>
      </c>
      <c r="S24" s="242" t="s">
        <v>93</v>
      </c>
      <c r="T24" s="57">
        <v>1302</v>
      </c>
      <c r="U24" s="57" t="str">
        <f t="shared" ref="U24:U26" si="0">"R"&amp;T24&amp;"(R0x"&amp;DEC2HEX(T24)&amp;")"</f>
        <v>R1302(R0x516)</v>
      </c>
      <c r="V24" s="247" t="s">
        <v>94</v>
      </c>
      <c r="W24" s="227" t="str">
        <f>DEC2HEX(B3-HEX2DEC(W25)*256)</f>
        <v>70</v>
      </c>
    </row>
    <row r="25" spans="1:23" ht="189" hidden="1">
      <c r="A25" s="62" t="s">
        <v>95</v>
      </c>
      <c r="B25" s="57" t="s">
        <v>96</v>
      </c>
      <c r="C25" s="57" t="str">
        <f>IF(C19="mars-1230-23u3x","40000",IF(OR(C19="mars-1230-9gx",C19="mars-880-13gx"),"60000",IF(OR(C19="mars-1231-32u3x",C19="mars-880-32u3x"),"30000",IF(C19="mars-881-44u3x","20000","-"))))</f>
        <v>60000</v>
      </c>
      <c r="F25" s="233" t="s">
        <v>97</v>
      </c>
      <c r="G25" s="234"/>
      <c r="H25" s="234"/>
      <c r="I25" s="234"/>
      <c r="J25" s="235"/>
      <c r="L25" s="62" t="s">
        <v>98</v>
      </c>
      <c r="M25" s="57" t="s">
        <v>99</v>
      </c>
      <c r="N25" s="57" t="s">
        <v>84</v>
      </c>
      <c r="O25" s="58">
        <v>8</v>
      </c>
      <c r="P25" s="63" t="s">
        <v>100</v>
      </c>
      <c r="R25" s="62" t="s">
        <v>101</v>
      </c>
      <c r="S25" s="243"/>
      <c r="T25" s="57">
        <v>1303</v>
      </c>
      <c r="U25" s="57" t="str">
        <f t="shared" si="0"/>
        <v>R1303(R0x517)</v>
      </c>
      <c r="V25" s="248"/>
      <c r="W25" s="227" t="str">
        <f>DEC2HEX(INT(B3/256))</f>
        <v>8</v>
      </c>
    </row>
    <row r="26" spans="1:23" ht="40.5" hidden="1">
      <c r="A26" s="62" t="s">
        <v>102</v>
      </c>
      <c r="B26" s="57" t="s">
        <v>103</v>
      </c>
      <c r="C26" s="57">
        <v>0</v>
      </c>
      <c r="D26" s="199">
        <v>0</v>
      </c>
      <c r="F26" s="197"/>
      <c r="G26" s="57"/>
      <c r="H26" s="22"/>
      <c r="I26" s="43"/>
      <c r="J26" s="216"/>
      <c r="L26" s="62"/>
      <c r="M26" s="57"/>
      <c r="N26" s="57"/>
      <c r="O26" s="58"/>
      <c r="P26" s="63"/>
      <c r="R26" s="62" t="s">
        <v>62</v>
      </c>
      <c r="S26" s="226" t="s">
        <v>63</v>
      </c>
      <c r="T26" s="57">
        <v>520</v>
      </c>
      <c r="U26" s="57" t="str">
        <f t="shared" si="0"/>
        <v>R520(R0x208)</v>
      </c>
      <c r="V26" s="57" t="s">
        <v>64</v>
      </c>
      <c r="W26" s="227">
        <v>0</v>
      </c>
    </row>
    <row r="27" spans="1:23" ht="189" hidden="1">
      <c r="A27" s="236" t="s">
        <v>104</v>
      </c>
      <c r="B27" s="237"/>
      <c r="C27" s="237"/>
      <c r="D27" s="238"/>
      <c r="F27" s="197" t="s">
        <v>105</v>
      </c>
      <c r="G27" s="57" t="s">
        <v>106</v>
      </c>
      <c r="H27" s="22" t="s">
        <v>107</v>
      </c>
      <c r="I27" s="43">
        <f>I39+O30</f>
        <v>2215</v>
      </c>
      <c r="J27" s="216" t="s">
        <v>108</v>
      </c>
      <c r="L27" s="62" t="s">
        <v>109</v>
      </c>
      <c r="M27" s="57" t="s">
        <v>99</v>
      </c>
      <c r="N27" s="57" t="s">
        <v>110</v>
      </c>
      <c r="O27" s="58">
        <f>IF(OR(O23="IMX253",O23="IMX304"),4,IF(OR(O23="IMX255",O23="IMX267"),8,"-"))</f>
        <v>8</v>
      </c>
      <c r="P27" s="63" t="s">
        <v>100</v>
      </c>
      <c r="R27" s="233" t="s">
        <v>111</v>
      </c>
      <c r="S27" s="234"/>
      <c r="T27" s="234"/>
      <c r="U27" s="234"/>
      <c r="V27" s="235"/>
      <c r="W27" s="225"/>
    </row>
    <row r="28" spans="1:23" ht="283.5" hidden="1">
      <c r="A28" s="62" t="s">
        <v>112</v>
      </c>
      <c r="B28" s="57" t="s">
        <v>113</v>
      </c>
      <c r="C28" s="57">
        <v>0</v>
      </c>
      <c r="D28" s="199">
        <v>0</v>
      </c>
      <c r="F28" s="200" t="s">
        <v>114</v>
      </c>
      <c r="G28" s="23" t="s">
        <v>115</v>
      </c>
      <c r="H28" s="23" t="s">
        <v>116</v>
      </c>
      <c r="I28" s="44">
        <f>I33+O31</f>
        <v>2800</v>
      </c>
      <c r="J28" s="217" t="s">
        <v>108</v>
      </c>
      <c r="L28" s="62" t="s">
        <v>117</v>
      </c>
      <c r="M28" s="57" t="s">
        <v>118</v>
      </c>
      <c r="N28" s="57" t="s">
        <v>119</v>
      </c>
      <c r="O28" s="58">
        <f>IF(O24="GIGE",807,IF(O24="U3",IF(B5=8,IF(O23="IMX253",417,IF(O23="IMX255",417,IF(O23="IMX304",522,IF(O23="IMX267",522,"-")))),IF(O23="IMX253",834,IF(O23="IMX255",834,IF(O23="IMX304",1044,IF(O23="IMX267",1044,"-")))))))</f>
        <v>807</v>
      </c>
      <c r="P28" s="63" t="s">
        <v>120</v>
      </c>
      <c r="R28" s="62" t="s">
        <v>121</v>
      </c>
      <c r="S28" s="57" t="s">
        <v>122</v>
      </c>
      <c r="T28" s="57"/>
      <c r="U28" s="57" t="str">
        <f>IF(O24="U3","0x1b0",IF(O24="GIGE","0x94","-"))</f>
        <v>0x94</v>
      </c>
      <c r="V28" s="57" t="s">
        <v>123</v>
      </c>
      <c r="W28" s="228" t="str">
        <f>IF(O24="U3",DEC2HEX(O28),IF(O24="GIGE",DEC2HEX(O28),"-"))</f>
        <v>327</v>
      </c>
    </row>
    <row r="29" spans="1:23" ht="283.5" hidden="1">
      <c r="A29" s="201"/>
      <c r="B29" s="202"/>
      <c r="C29" s="202"/>
      <c r="D29" s="203"/>
      <c r="F29" s="197"/>
      <c r="G29" s="57"/>
      <c r="H29" s="22"/>
      <c r="I29" s="43"/>
      <c r="J29" s="216"/>
      <c r="L29" s="62" t="s">
        <v>124</v>
      </c>
      <c r="M29" s="57" t="s">
        <v>125</v>
      </c>
      <c r="N29" s="57" t="s">
        <v>126</v>
      </c>
      <c r="O29" s="58">
        <f>IF(O24="GIGE",IF(O23="IMX253",678,IF(O23="IMX255",678,IF(O23="IMX304",807,IF(O23="IMX267",807,"-")))),"-")</f>
        <v>807</v>
      </c>
      <c r="P29" s="63" t="s">
        <v>120</v>
      </c>
      <c r="R29" s="62" t="s">
        <v>127</v>
      </c>
      <c r="S29" s="57" t="s">
        <v>128</v>
      </c>
      <c r="T29" s="57"/>
      <c r="U29" s="57" t="str">
        <f>IF(O23="U3","0x1b1",IF(O23="GIGE","0x95","-"))</f>
        <v>-</v>
      </c>
      <c r="V29" s="57" t="s">
        <v>129</v>
      </c>
      <c r="W29" s="227" t="e">
        <f>DEC2HEX(INT(#REF!/I21))</f>
        <v>#REF!</v>
      </c>
    </row>
    <row r="30" spans="1:23" ht="409.5" hidden="1">
      <c r="A30" s="236" t="s">
        <v>130</v>
      </c>
      <c r="B30" s="237"/>
      <c r="C30" s="237"/>
      <c r="D30" s="238"/>
      <c r="F30" s="197" t="s">
        <v>131</v>
      </c>
      <c r="G30" s="57" t="s">
        <v>132</v>
      </c>
      <c r="H30" s="57" t="s">
        <v>133</v>
      </c>
      <c r="I30" s="58">
        <f>ROUNDUP(((1000000000/B9)/I22)*B10,0)</f>
        <v>0</v>
      </c>
      <c r="J30" s="216" t="s">
        <v>108</v>
      </c>
      <c r="L30" s="62" t="s">
        <v>134</v>
      </c>
      <c r="M30" s="57" t="s">
        <v>135</v>
      </c>
      <c r="N30" s="57" t="s">
        <v>136</v>
      </c>
      <c r="O30" s="58">
        <f>IF(OR(O23="IMX253",O23="IMX255"),54,IF(OR(O23="IMX304",O23="IMX267"),34,"-"))</f>
        <v>34</v>
      </c>
      <c r="P30" s="63" t="s">
        <v>108</v>
      </c>
      <c r="R30" s="66" t="s">
        <v>137</v>
      </c>
      <c r="S30" s="23" t="s">
        <v>138</v>
      </c>
      <c r="T30" s="23"/>
      <c r="U30" s="23" t="str">
        <f>IF(O23="U3","0x1b4-0x1b5",IF(O24="GIGE","0x96","-"))</f>
        <v>0x96</v>
      </c>
      <c r="V30" s="23" t="s">
        <v>139</v>
      </c>
      <c r="W30" s="228" t="str">
        <f>DEC2HEX(I33)</f>
        <v>AE4</v>
      </c>
    </row>
    <row r="31" spans="1:23" ht="409.5" hidden="1">
      <c r="A31" s="62" t="s">
        <v>140</v>
      </c>
      <c r="B31" s="57" t="s">
        <v>141</v>
      </c>
      <c r="C31" s="57">
        <v>0</v>
      </c>
      <c r="D31" s="199">
        <v>0</v>
      </c>
      <c r="F31" s="197" t="s">
        <v>142</v>
      </c>
      <c r="G31" s="57" t="s">
        <v>143</v>
      </c>
      <c r="H31" s="57" t="s">
        <v>144</v>
      </c>
      <c r="I31" s="58">
        <f>IF(O24="U3",O40,IF(O24="GIGE",O72,"-"))</f>
        <v>3840</v>
      </c>
      <c r="J31" s="216" t="s">
        <v>108</v>
      </c>
      <c r="L31" s="62" t="s">
        <v>145</v>
      </c>
      <c r="M31" s="57" t="s">
        <v>146</v>
      </c>
      <c r="N31" s="57" t="s">
        <v>147</v>
      </c>
      <c r="O31" s="58">
        <f>IF(OR(O23="IMX253",O23="IMX255"),24,IF(OR(O23="IMX304",O23="IMX267"),12,"-"))</f>
        <v>12</v>
      </c>
      <c r="P31" s="63" t="s">
        <v>108</v>
      </c>
      <c r="R31" s="98" t="s">
        <v>148</v>
      </c>
      <c r="S31" s="91" t="s">
        <v>149</v>
      </c>
      <c r="T31" s="91"/>
      <c r="U31" s="91" t="str">
        <f>IF(O23="U3","0x1b6-0x1b7",IF(O24="GIGE","0x97","-"))</f>
        <v>0x97</v>
      </c>
      <c r="V31" s="91" t="s">
        <v>150</v>
      </c>
      <c r="W31" s="229" t="str">
        <f>DEC2HEX(MAX(I27,I28,I30,I31))</f>
        <v>F00</v>
      </c>
    </row>
    <row r="32" spans="1:23" ht="409.5" hidden="1">
      <c r="A32" s="62" t="s">
        <v>151</v>
      </c>
      <c r="B32" s="57" t="s">
        <v>152</v>
      </c>
      <c r="C32" s="57">
        <v>0</v>
      </c>
      <c r="D32" s="199">
        <v>0</v>
      </c>
      <c r="F32" s="233" t="s">
        <v>153</v>
      </c>
      <c r="G32" s="234"/>
      <c r="H32" s="234"/>
      <c r="I32" s="234"/>
      <c r="J32" s="235"/>
      <c r="L32" s="66" t="s">
        <v>154</v>
      </c>
      <c r="M32" s="23" t="s">
        <v>155</v>
      </c>
      <c r="N32" s="23" t="s">
        <v>84</v>
      </c>
      <c r="O32" s="218">
        <v>14260</v>
      </c>
      <c r="P32" s="67" t="s">
        <v>69</v>
      </c>
      <c r="R32" s="98" t="s">
        <v>156</v>
      </c>
      <c r="S32" s="91">
        <v>32</v>
      </c>
      <c r="T32" s="91"/>
      <c r="U32" s="91" t="str">
        <f>"0x"&amp;DEC2HEX(S32)</f>
        <v>0x20</v>
      </c>
      <c r="V32" s="91" t="s">
        <v>157</v>
      </c>
      <c r="W32" s="229">
        <v>1</v>
      </c>
    </row>
    <row r="33" spans="1:18" ht="135" hidden="1">
      <c r="A33" s="62" t="s">
        <v>28</v>
      </c>
      <c r="B33" s="57" t="s">
        <v>158</v>
      </c>
      <c r="C33" s="57">
        <f>IF(OR(O23="IMX253",O23="IMX304",O23="IMX255",O23="IMX267"),4096,"-")</f>
        <v>4096</v>
      </c>
      <c r="F33" s="200" t="s">
        <v>159</v>
      </c>
      <c r="G33" s="23" t="s">
        <v>160</v>
      </c>
      <c r="H33" s="23" t="s">
        <v>161</v>
      </c>
      <c r="I33" s="44">
        <f>MAX(ROUNDUP(((1000*B4-O32)/I22),0),1)</f>
        <v>2788</v>
      </c>
      <c r="J33" s="217" t="s">
        <v>108</v>
      </c>
      <c r="L33" s="25" t="s">
        <v>162</v>
      </c>
      <c r="M33" s="22" t="s">
        <v>163</v>
      </c>
      <c r="N33" s="22" t="s">
        <v>164</v>
      </c>
      <c r="O33" s="53">
        <f>IF(O24="U3",3950,IF(O24="GIGE",IF(O23="IMX304",1106,IF(O23="IMX267",1250,"-")),"-"))</f>
        <v>1250</v>
      </c>
      <c r="P33" s="40" t="s">
        <v>165</v>
      </c>
    </row>
    <row r="34" spans="1:18" ht="67.5" hidden="1">
      <c r="A34" s="62" t="s">
        <v>29</v>
      </c>
      <c r="B34" s="57" t="s">
        <v>166</v>
      </c>
      <c r="C34" s="57">
        <f>IF(OR(O23="IMX253",O23="IMX304"),3000,IF(OR(O23="IMX255",O23="IMX267"),2160,"-"))</f>
        <v>2160</v>
      </c>
      <c r="F34" s="197" t="s">
        <v>167</v>
      </c>
      <c r="G34" s="57" t="s">
        <v>168</v>
      </c>
      <c r="H34" s="57">
        <v>0</v>
      </c>
      <c r="I34" s="58">
        <v>0</v>
      </c>
      <c r="J34" s="63" t="s">
        <v>81</v>
      </c>
      <c r="L34" s="233" t="s">
        <v>169</v>
      </c>
      <c r="M34" s="234"/>
      <c r="N34" s="234"/>
      <c r="O34" s="234"/>
      <c r="P34" s="235"/>
    </row>
    <row r="35" spans="1:18" ht="94.5" hidden="1">
      <c r="A35" s="236" t="s">
        <v>170</v>
      </c>
      <c r="B35" s="237"/>
      <c r="C35" s="237"/>
      <c r="D35" s="238"/>
      <c r="F35" s="197" t="s">
        <v>171</v>
      </c>
      <c r="G35" s="57" t="s">
        <v>172</v>
      </c>
      <c r="H35" s="57" t="s">
        <v>173</v>
      </c>
      <c r="I35" s="58">
        <f>IF(B4&gt;100,B4,100)</f>
        <v>60000</v>
      </c>
      <c r="J35" s="63" t="s">
        <v>81</v>
      </c>
      <c r="L35" s="32" t="s">
        <v>48</v>
      </c>
      <c r="M35" s="20" t="s">
        <v>49</v>
      </c>
      <c r="N35" s="20" t="s">
        <v>50</v>
      </c>
      <c r="O35" s="20" t="s">
        <v>61</v>
      </c>
      <c r="P35" s="60" t="s">
        <v>52</v>
      </c>
    </row>
    <row r="36" spans="1:18" ht="135" hidden="1">
      <c r="A36" s="62" t="s">
        <v>174</v>
      </c>
      <c r="B36" s="57" t="s">
        <v>175</v>
      </c>
      <c r="C36" s="57">
        <v>0</v>
      </c>
      <c r="D36" s="199">
        <v>0</v>
      </c>
      <c r="F36" s="197" t="s">
        <v>176</v>
      </c>
      <c r="G36" s="57" t="s">
        <v>177</v>
      </c>
      <c r="H36" s="198" t="s">
        <v>178</v>
      </c>
      <c r="I36" s="58">
        <f>(B4+11*I22)/1000+I39*I22/1000</f>
        <v>47231.840000000004</v>
      </c>
      <c r="J36" s="63" t="s">
        <v>81</v>
      </c>
      <c r="L36" s="62" t="s">
        <v>179</v>
      </c>
      <c r="M36" s="57" t="s">
        <v>180</v>
      </c>
      <c r="N36" s="57">
        <v>52</v>
      </c>
      <c r="O36" s="58">
        <v>52</v>
      </c>
      <c r="P36" s="63" t="s">
        <v>181</v>
      </c>
    </row>
    <row r="37" spans="1:18" ht="81" hidden="1">
      <c r="A37" s="62" t="s">
        <v>182</v>
      </c>
      <c r="B37" s="57" t="s">
        <v>175</v>
      </c>
      <c r="C37" s="57">
        <v>0</v>
      </c>
      <c r="D37" s="199">
        <v>0</v>
      </c>
      <c r="F37" s="197" t="s">
        <v>183</v>
      </c>
      <c r="G37" s="57" t="s">
        <v>184</v>
      </c>
      <c r="H37" s="57" t="s">
        <v>185</v>
      </c>
      <c r="I37" s="58" t="str">
        <f>IF(O24="U3",B17*O39/1000000,"-")</f>
        <v>-</v>
      </c>
      <c r="J37" s="63" t="s">
        <v>186</v>
      </c>
      <c r="L37" s="62" t="s">
        <v>187</v>
      </c>
      <c r="M37" s="57" t="s">
        <v>188</v>
      </c>
      <c r="N37" s="57" t="s">
        <v>189</v>
      </c>
      <c r="O37" s="58">
        <f>IF(B5=1,36,32)</f>
        <v>32</v>
      </c>
      <c r="P37" s="63" t="s">
        <v>181</v>
      </c>
    </row>
    <row r="38" spans="1:18" ht="81" hidden="1">
      <c r="A38" s="90" t="s">
        <v>190</v>
      </c>
      <c r="B38" s="91" t="s">
        <v>175</v>
      </c>
      <c r="C38" s="91">
        <v>0</v>
      </c>
      <c r="D38" s="204">
        <v>0</v>
      </c>
      <c r="F38" s="200" t="s">
        <v>191</v>
      </c>
      <c r="G38" s="23" t="s">
        <v>192</v>
      </c>
      <c r="H38" s="23" t="s">
        <v>193</v>
      </c>
      <c r="J38" s="67" t="s">
        <v>194</v>
      </c>
      <c r="L38" s="62" t="s">
        <v>195</v>
      </c>
      <c r="M38" s="57" t="s">
        <v>196</v>
      </c>
      <c r="N38" s="57" t="s">
        <v>197</v>
      </c>
      <c r="O38" s="58">
        <f>B2*B3*IF(B5=8,1,2)</f>
        <v>8847360</v>
      </c>
      <c r="P38" s="63" t="s">
        <v>181</v>
      </c>
    </row>
    <row r="39" spans="1:18" ht="337.5" hidden="1">
      <c r="A39" s="244" t="s">
        <v>198</v>
      </c>
      <c r="B39" s="245"/>
      <c r="C39" s="245"/>
      <c r="D39" s="246"/>
      <c r="F39" s="47" t="s">
        <v>199</v>
      </c>
      <c r="G39" s="22" t="s">
        <v>200</v>
      </c>
      <c r="H39" s="22" t="s">
        <v>201</v>
      </c>
      <c r="I39" s="43">
        <f>IF(OR(O23="IMX253",O23="IMX255"),41,IF(OR(O23="IMX304",O23="IMX267"),21,"-"))+B3</f>
        <v>2181</v>
      </c>
      <c r="J39" s="216" t="s">
        <v>108</v>
      </c>
      <c r="L39" s="62" t="s">
        <v>202</v>
      </c>
      <c r="M39" s="57" t="s">
        <v>203</v>
      </c>
      <c r="N39" s="57" t="s">
        <v>204</v>
      </c>
      <c r="O39" s="58">
        <f>O36+O37+O38+(8+16*D36+16*D37)*D38</f>
        <v>8847444</v>
      </c>
      <c r="P39" s="63" t="s">
        <v>181</v>
      </c>
    </row>
    <row r="40" spans="1:18" ht="121.5" hidden="1">
      <c r="A40" s="62" t="s">
        <v>205</v>
      </c>
      <c r="B40" s="57" t="s">
        <v>206</v>
      </c>
      <c r="C40" s="57">
        <v>0</v>
      </c>
      <c r="D40" s="199">
        <v>0</v>
      </c>
      <c r="F40" s="200" t="s">
        <v>207</v>
      </c>
      <c r="G40" s="205" t="s">
        <v>208</v>
      </c>
      <c r="H40" s="23" t="s">
        <v>209</v>
      </c>
      <c r="I40" s="44">
        <f>12500*B11*(100-B12)</f>
        <v>1125000000</v>
      </c>
      <c r="J40" s="67"/>
      <c r="L40" s="62" t="s">
        <v>210</v>
      </c>
      <c r="M40" s="57" t="s">
        <v>143</v>
      </c>
      <c r="N40" s="57" t="s">
        <v>211</v>
      </c>
      <c r="O40" s="58">
        <f>ROUNDUP((MAX((O39*1000000/D41)*D40,O39*10/O33)*1000/I22),0)</f>
        <v>3290</v>
      </c>
      <c r="P40" s="63" t="s">
        <v>108</v>
      </c>
      <c r="R40" s="68"/>
    </row>
    <row r="41" spans="1:18" ht="324" hidden="1">
      <c r="A41" s="62" t="s">
        <v>212</v>
      </c>
      <c r="B41" s="57" t="s">
        <v>213</v>
      </c>
      <c r="C41" s="57">
        <v>300000000</v>
      </c>
      <c r="D41" s="199">
        <v>350000000</v>
      </c>
      <c r="F41" s="206" t="s">
        <v>214</v>
      </c>
      <c r="G41" s="207" t="s">
        <v>215</v>
      </c>
      <c r="H41" s="106" t="s">
        <v>216</v>
      </c>
      <c r="I41" s="219">
        <f>((62+(B6-36))*O60+62+O61+168)+(B7+12)*(O60+3)</f>
        <v>9294808</v>
      </c>
      <c r="J41" s="220"/>
      <c r="L41" s="233" t="s">
        <v>217</v>
      </c>
      <c r="M41" s="234"/>
      <c r="N41" s="234"/>
      <c r="O41" s="234"/>
      <c r="P41" s="235"/>
      <c r="R41" s="68"/>
    </row>
    <row r="42" spans="1:18" ht="27" hidden="1">
      <c r="A42" s="236" t="s">
        <v>218</v>
      </c>
      <c r="B42" s="237"/>
      <c r="C42" s="237"/>
      <c r="D42" s="238"/>
      <c r="F42" s="208"/>
      <c r="L42" s="32" t="s">
        <v>48</v>
      </c>
      <c r="M42" s="20" t="s">
        <v>49</v>
      </c>
      <c r="N42" s="20" t="s">
        <v>50</v>
      </c>
      <c r="O42" s="20" t="s">
        <v>61</v>
      </c>
      <c r="P42" s="60" t="s">
        <v>52</v>
      </c>
      <c r="R42" s="68"/>
    </row>
    <row r="43" spans="1:18" ht="27" hidden="1">
      <c r="A43" s="62" t="s">
        <v>219</v>
      </c>
      <c r="B43" s="57" t="s">
        <v>220</v>
      </c>
      <c r="C43" s="209" t="s">
        <v>84</v>
      </c>
      <c r="F43" s="208"/>
      <c r="L43" s="62" t="s">
        <v>221</v>
      </c>
      <c r="M43" s="57" t="s">
        <v>222</v>
      </c>
      <c r="N43" s="57" t="s">
        <v>223</v>
      </c>
      <c r="O43" s="58">
        <v>7</v>
      </c>
      <c r="P43" s="63" t="s">
        <v>181</v>
      </c>
      <c r="R43" s="68"/>
    </row>
    <row r="44" spans="1:18" ht="81" hidden="1">
      <c r="A44" s="62" t="s">
        <v>32</v>
      </c>
      <c r="B44" s="57" t="s">
        <v>224</v>
      </c>
      <c r="C44" s="209">
        <v>1500</v>
      </c>
      <c r="F44" s="208"/>
      <c r="L44" s="62" t="s">
        <v>225</v>
      </c>
      <c r="M44" s="57" t="s">
        <v>226</v>
      </c>
      <c r="N44" s="57" t="s">
        <v>227</v>
      </c>
      <c r="O44" s="58">
        <v>1</v>
      </c>
      <c r="P44" s="63" t="s">
        <v>181</v>
      </c>
      <c r="R44" s="68"/>
    </row>
    <row r="45" spans="1:18" ht="40.5" hidden="1">
      <c r="A45" s="62" t="s">
        <v>33</v>
      </c>
      <c r="B45" s="57" t="str">
        <f>"包间隔(不包括12B最小值的部分 范围:0-"&amp;B8</f>
        <v>包间隔(不包括12B最小值的部分 范围:0-180000</v>
      </c>
      <c r="C45" s="209">
        <v>0</v>
      </c>
      <c r="F45" s="208"/>
      <c r="L45" s="62" t="s">
        <v>228</v>
      </c>
      <c r="M45" s="57" t="s">
        <v>229</v>
      </c>
      <c r="N45" s="57" t="s">
        <v>230</v>
      </c>
      <c r="O45" s="58">
        <v>14</v>
      </c>
      <c r="P45" s="63" t="s">
        <v>181</v>
      </c>
      <c r="R45" s="68"/>
    </row>
    <row r="46" spans="1:18" ht="27" hidden="1">
      <c r="A46" s="210" t="s">
        <v>231</v>
      </c>
      <c r="B46" s="205" t="s">
        <v>232</v>
      </c>
      <c r="C46" s="211">
        <v>180000</v>
      </c>
      <c r="F46" s="208"/>
      <c r="L46" s="62" t="s">
        <v>233</v>
      </c>
      <c r="M46" s="57" t="s">
        <v>234</v>
      </c>
      <c r="N46" s="57" t="s">
        <v>235</v>
      </c>
      <c r="O46" s="58">
        <v>20</v>
      </c>
      <c r="P46" s="63" t="s">
        <v>181</v>
      </c>
      <c r="R46" s="68"/>
    </row>
    <row r="47" spans="1:18" ht="40.5" hidden="1">
      <c r="A47" s="62" t="s">
        <v>38</v>
      </c>
      <c r="B47" s="57" t="str">
        <f>"预留带宽 范围:0-"&amp;B13</f>
        <v>预留带宽 范围:0-99</v>
      </c>
      <c r="C47" s="209">
        <v>10</v>
      </c>
      <c r="F47" s="208"/>
      <c r="L47" s="62" t="s">
        <v>236</v>
      </c>
      <c r="M47" s="57" t="s">
        <v>237</v>
      </c>
      <c r="N47" s="57" t="s">
        <v>238</v>
      </c>
      <c r="O47" s="58">
        <v>8</v>
      </c>
      <c r="P47" s="63" t="s">
        <v>181</v>
      </c>
      <c r="R47" s="68"/>
    </row>
    <row r="48" spans="1:18" ht="81" hidden="1">
      <c r="A48" s="212" t="s">
        <v>239</v>
      </c>
      <c r="B48" s="207" t="s">
        <v>240</v>
      </c>
      <c r="C48" s="213">
        <v>99</v>
      </c>
      <c r="F48" s="208"/>
      <c r="L48" s="62" t="s">
        <v>241</v>
      </c>
      <c r="M48" s="57" t="s">
        <v>242</v>
      </c>
      <c r="N48" s="57" t="s">
        <v>238</v>
      </c>
      <c r="O48" s="58">
        <v>8</v>
      </c>
      <c r="P48" s="63" t="s">
        <v>181</v>
      </c>
      <c r="R48" s="68"/>
    </row>
    <row r="49" spans="1:18" ht="27" hidden="1">
      <c r="A49" s="239" t="s">
        <v>243</v>
      </c>
      <c r="B49" s="240"/>
      <c r="C49" s="240"/>
      <c r="D49" s="241"/>
      <c r="F49" s="208"/>
      <c r="L49" s="62" t="s">
        <v>244</v>
      </c>
      <c r="M49" s="57" t="s">
        <v>245</v>
      </c>
      <c r="N49" s="57" t="s">
        <v>246</v>
      </c>
      <c r="O49" s="58">
        <v>4</v>
      </c>
      <c r="P49" s="63" t="s">
        <v>181</v>
      </c>
      <c r="R49" s="68"/>
    </row>
    <row r="50" spans="1:18" ht="40.5" hidden="1">
      <c r="A50" s="62" t="s">
        <v>247</v>
      </c>
      <c r="B50" s="57" t="s">
        <v>248</v>
      </c>
      <c r="C50" s="57">
        <v>0</v>
      </c>
      <c r="F50" s="208"/>
      <c r="L50" s="62" t="s">
        <v>249</v>
      </c>
      <c r="M50" s="57" t="s">
        <v>250</v>
      </c>
      <c r="N50" s="57" t="s">
        <v>251</v>
      </c>
      <c r="O50" s="58">
        <v>12</v>
      </c>
      <c r="P50" s="63" t="s">
        <v>181</v>
      </c>
      <c r="R50" s="68"/>
    </row>
    <row r="51" spans="1:18" ht="135" hidden="1">
      <c r="A51" s="62" t="s">
        <v>252</v>
      </c>
      <c r="B51" s="57" t="s">
        <v>253</v>
      </c>
      <c r="C51" s="57">
        <f>IF(O24="U3",IF(B5=8,IF(O23="IMX253",32,IF(O23="IMX255",44,IF(O23="IMX304",23,IF(O23="IMX267",32,"-")))),IF(O23="IMX253",16,IF(O23="IMX255",22,IF(O23="IMX304",12,IF(O23="IMX267",16,"-"))))),IF(O24="GIGE",IF(B5=8,IF(O23="IMX253",9,IF(O23="IMX255",12,IF(O23="IMX304",9,IF(O23="IMX267",12,"-")))),IF(O23="IMX253",4.5,IF(O23="IMX255",6,IF(O23="IMX304",4.5,IF(O23="IMX267",6,"-")))))))</f>
        <v>12</v>
      </c>
      <c r="F51" s="208"/>
      <c r="L51" s="62" t="s">
        <v>254</v>
      </c>
      <c r="M51" s="23" t="s">
        <v>255</v>
      </c>
      <c r="N51" s="57" t="s">
        <v>256</v>
      </c>
      <c r="O51" s="58">
        <f>O46+O47+O48</f>
        <v>36</v>
      </c>
      <c r="P51" s="63" t="s">
        <v>181</v>
      </c>
      <c r="R51" s="68"/>
    </row>
    <row r="52" spans="1:18" ht="108" hidden="1">
      <c r="F52" s="208"/>
      <c r="L52" s="62" t="s">
        <v>257</v>
      </c>
      <c r="M52" s="23" t="s">
        <v>258</v>
      </c>
      <c r="N52" s="57" t="s">
        <v>259</v>
      </c>
      <c r="O52" s="58">
        <f>O43+O44+O45+O49</f>
        <v>26</v>
      </c>
      <c r="P52" s="63" t="s">
        <v>181</v>
      </c>
      <c r="R52" s="68"/>
    </row>
    <row r="53" spans="1:18" ht="54" hidden="1">
      <c r="F53" s="208"/>
      <c r="L53" s="221" t="s">
        <v>260</v>
      </c>
      <c r="M53" s="222" t="s">
        <v>261</v>
      </c>
      <c r="N53" s="222" t="s">
        <v>262</v>
      </c>
      <c r="O53" s="223">
        <f>64-O45-O49-O51</f>
        <v>10</v>
      </c>
      <c r="P53" s="224" t="s">
        <v>181</v>
      </c>
      <c r="R53" s="68"/>
    </row>
    <row r="54" spans="1:18" ht="13.5" hidden="1" customHeight="1">
      <c r="A54" s="31"/>
      <c r="B54" s="31"/>
      <c r="C54" s="31"/>
      <c r="D54" s="31"/>
      <c r="F54" s="208"/>
      <c r="L54" s="233" t="s">
        <v>263</v>
      </c>
      <c r="M54" s="234"/>
      <c r="N54" s="234"/>
      <c r="O54" s="234"/>
      <c r="P54" s="235"/>
      <c r="R54" s="68"/>
    </row>
    <row r="55" spans="1:18" ht="27" hidden="1">
      <c r="A55" s="31"/>
      <c r="B55" s="31"/>
      <c r="C55" s="31"/>
      <c r="D55" s="31"/>
      <c r="F55" s="208"/>
      <c r="L55" s="32" t="s">
        <v>48</v>
      </c>
      <c r="M55" s="20" t="s">
        <v>49</v>
      </c>
      <c r="N55" s="20" t="s">
        <v>50</v>
      </c>
      <c r="O55" s="20" t="s">
        <v>61</v>
      </c>
      <c r="P55" s="60" t="s">
        <v>52</v>
      </c>
    </row>
    <row r="56" spans="1:18" ht="67.5" hidden="1">
      <c r="A56" s="31"/>
      <c r="B56" s="31"/>
      <c r="C56" s="31"/>
      <c r="D56" s="31"/>
      <c r="F56" s="208"/>
      <c r="L56" s="62" t="s">
        <v>179</v>
      </c>
      <c r="M56" s="57" t="s">
        <v>264</v>
      </c>
      <c r="N56" s="57" t="s">
        <v>265</v>
      </c>
      <c r="O56" s="58">
        <f>IF(D38=0,36,12)</f>
        <v>36</v>
      </c>
      <c r="P56" s="63" t="s">
        <v>181</v>
      </c>
    </row>
    <row r="57" spans="1:18" ht="81" hidden="1">
      <c r="A57" s="31"/>
      <c r="B57" s="31"/>
      <c r="C57" s="31"/>
      <c r="D57" s="31"/>
      <c r="F57" s="208"/>
      <c r="L57" s="62" t="s">
        <v>187</v>
      </c>
      <c r="M57" s="57" t="s">
        <v>266</v>
      </c>
      <c r="N57" s="57" t="s">
        <v>267</v>
      </c>
      <c r="O57" s="58">
        <v>10</v>
      </c>
      <c r="P57" s="63" t="s">
        <v>181</v>
      </c>
    </row>
    <row r="58" spans="1:18" ht="67.5" hidden="1">
      <c r="F58" s="208"/>
      <c r="L58" s="62" t="s">
        <v>195</v>
      </c>
      <c r="M58" s="57" t="s">
        <v>268</v>
      </c>
      <c r="N58" s="57" t="s">
        <v>197</v>
      </c>
      <c r="O58" s="58">
        <f>B2*B3*IF(B5=8,1,2)</f>
        <v>8847360</v>
      </c>
      <c r="P58" s="63" t="s">
        <v>181</v>
      </c>
    </row>
    <row r="59" spans="1:18" ht="81" hidden="1">
      <c r="F59" s="208"/>
      <c r="L59" s="62" t="s">
        <v>269</v>
      </c>
      <c r="M59" s="57" t="s">
        <v>270</v>
      </c>
      <c r="N59" s="57" t="s">
        <v>271</v>
      </c>
      <c r="O59" s="58">
        <f>O58+32*D38</f>
        <v>8847360</v>
      </c>
      <c r="P59" s="63" t="s">
        <v>181</v>
      </c>
    </row>
    <row r="60" spans="1:18" ht="54" hidden="1">
      <c r="F60" s="208"/>
      <c r="L60" s="62" t="s">
        <v>272</v>
      </c>
      <c r="M60" s="57" t="s">
        <v>273</v>
      </c>
      <c r="N60" s="57" t="s">
        <v>274</v>
      </c>
      <c r="O60" s="73">
        <f>INT(O59/(B6-O51))</f>
        <v>6043</v>
      </c>
      <c r="P60" s="63"/>
    </row>
    <row r="61" spans="1:18" ht="54" hidden="1">
      <c r="F61" s="208"/>
      <c r="L61" s="62" t="s">
        <v>275</v>
      </c>
      <c r="M61" s="57" t="s">
        <v>276</v>
      </c>
      <c r="N61" s="57" t="s">
        <v>277</v>
      </c>
      <c r="O61" s="73">
        <f>O59-(B6-O51)*O60</f>
        <v>408</v>
      </c>
      <c r="P61" s="63" t="s">
        <v>181</v>
      </c>
    </row>
    <row r="62" spans="1:18" ht="54" hidden="1">
      <c r="F62" s="208"/>
      <c r="L62" s="62" t="s">
        <v>278</v>
      </c>
      <c r="M62" s="57" t="s">
        <v>279</v>
      </c>
      <c r="N62" s="57" t="s">
        <v>280</v>
      </c>
      <c r="O62" s="58">
        <f>IF(MOD(O58,(B6-O51))=0,0,1)</f>
        <v>1</v>
      </c>
      <c r="P62" s="63"/>
    </row>
    <row r="63" spans="1:18" ht="135" hidden="1">
      <c r="F63" s="208"/>
      <c r="L63" s="62" t="s">
        <v>281</v>
      </c>
      <c r="M63" s="57" t="s">
        <v>282</v>
      </c>
      <c r="N63" s="57" t="s">
        <v>283</v>
      </c>
      <c r="O63" s="73">
        <f>IF(O61&lt;O53,O53,O61)</f>
        <v>408</v>
      </c>
      <c r="P63" s="63" t="s">
        <v>181</v>
      </c>
    </row>
    <row r="64" spans="1:18" ht="162" hidden="1">
      <c r="F64" s="208"/>
      <c r="L64" s="62" t="s">
        <v>284</v>
      </c>
      <c r="M64" s="57" t="s">
        <v>285</v>
      </c>
      <c r="N64" s="57" t="s">
        <v>286</v>
      </c>
      <c r="O64" s="73">
        <f>O52+O51+O56</f>
        <v>98</v>
      </c>
      <c r="P64" s="63" t="s">
        <v>181</v>
      </c>
    </row>
    <row r="65" spans="6:16" ht="175.5" hidden="1">
      <c r="F65" s="208"/>
      <c r="L65" s="62" t="s">
        <v>287</v>
      </c>
      <c r="M65" s="57" t="s">
        <v>288</v>
      </c>
      <c r="N65" s="57" t="s">
        <v>286</v>
      </c>
      <c r="O65" s="73">
        <f>O52+O51+O57</f>
        <v>72</v>
      </c>
      <c r="P65" s="63" t="s">
        <v>181</v>
      </c>
    </row>
    <row r="66" spans="6:16" ht="175.5" hidden="1">
      <c r="F66" s="208"/>
      <c r="L66" s="62" t="s">
        <v>289</v>
      </c>
      <c r="M66" s="57" t="s">
        <v>290</v>
      </c>
      <c r="N66" s="57" t="s">
        <v>291</v>
      </c>
      <c r="O66" s="73">
        <f>O60*(B6+O52)+O62*(O63+O52+O51)</f>
        <v>9222088</v>
      </c>
      <c r="P66" s="63" t="s">
        <v>181</v>
      </c>
    </row>
    <row r="67" spans="6:16" ht="297" hidden="1">
      <c r="F67" s="208"/>
      <c r="L67" s="62" t="s">
        <v>292</v>
      </c>
      <c r="M67" s="57" t="s">
        <v>293</v>
      </c>
      <c r="N67" s="57" t="s">
        <v>294</v>
      </c>
      <c r="O67" s="73">
        <f>(2+O62+O60)*(B7+O50)</f>
        <v>72552</v>
      </c>
      <c r="P67" s="63" t="s">
        <v>181</v>
      </c>
    </row>
    <row r="68" spans="6:16" ht="135" hidden="1">
      <c r="F68" s="208"/>
      <c r="L68" s="62" t="s">
        <v>202</v>
      </c>
      <c r="M68" s="57" t="s">
        <v>295</v>
      </c>
      <c r="N68" s="22" t="s">
        <v>296</v>
      </c>
      <c r="O68" s="58">
        <f>O64+O65+O66+O67</f>
        <v>9294810</v>
      </c>
      <c r="P68" s="63" t="s">
        <v>181</v>
      </c>
    </row>
    <row r="69" spans="6:16" ht="67.5" hidden="1">
      <c r="F69" s="208"/>
      <c r="L69" s="25" t="s">
        <v>297</v>
      </c>
      <c r="M69" s="22" t="s">
        <v>298</v>
      </c>
      <c r="N69" s="22" t="s">
        <v>299</v>
      </c>
      <c r="O69" s="43">
        <f>INT(B11*(100-B12)/80)</f>
        <v>1125</v>
      </c>
      <c r="P69" s="40" t="s">
        <v>300</v>
      </c>
    </row>
    <row r="70" spans="6:16" ht="67.5" hidden="1">
      <c r="F70" s="208"/>
      <c r="L70" s="25" t="s">
        <v>301</v>
      </c>
      <c r="M70" s="22" t="s">
        <v>302</v>
      </c>
      <c r="N70" s="22" t="s">
        <v>303</v>
      </c>
      <c r="O70" s="43">
        <f>ROUNDUP(ROUNDUP(O68*1000/O69,0)*10/I22,0)</f>
        <v>3840</v>
      </c>
      <c r="P70" s="40" t="s">
        <v>108</v>
      </c>
    </row>
    <row r="71" spans="6:16" ht="81" hidden="1">
      <c r="F71" s="208"/>
      <c r="L71" s="25" t="s">
        <v>304</v>
      </c>
      <c r="M71" s="22" t="s">
        <v>305</v>
      </c>
      <c r="N71" s="22" t="s">
        <v>306</v>
      </c>
      <c r="O71" s="43">
        <f>ROUNDUP((O59+O56+O57)*10*1000/O33/I22,0)</f>
        <v>3289</v>
      </c>
      <c r="P71" s="40" t="s">
        <v>108</v>
      </c>
    </row>
    <row r="72" spans="6:16" ht="67.5" hidden="1">
      <c r="F72" s="208"/>
      <c r="L72" s="104" t="s">
        <v>307</v>
      </c>
      <c r="M72" s="52" t="s">
        <v>143</v>
      </c>
      <c r="N72" s="52" t="s">
        <v>308</v>
      </c>
      <c r="O72" s="53">
        <f>MAX(O70,O71)</f>
        <v>3840</v>
      </c>
      <c r="P72" s="54" t="s">
        <v>108</v>
      </c>
    </row>
    <row r="73" spans="6:16" hidden="1">
      <c r="F73" s="208"/>
    </row>
    <row r="74" spans="6:16" hidden="1">
      <c r="F74" s="208"/>
    </row>
    <row r="75" spans="6:16" hidden="1"/>
    <row r="76" spans="6:16" hidden="1"/>
    <row r="77" spans="6:16" hidden="1"/>
  </sheetData>
  <sheetProtection algorithmName="SHA-512" hashValue="9ercubgpLJkEvJ7H43IDeoN848bH6YuFSocZpch3AT78uZQUwZtlNO5MD3oEfdZ86B9npTDcWVQ2IRiUbLzDrA==" saltValue="3y742IB00QS8Jmm6y90W+w==" spinCount="100000" sheet="1" objects="1" scenarios="1"/>
  <mergeCells count="23">
    <mergeCell ref="V22:V23"/>
    <mergeCell ref="V24:V25"/>
    <mergeCell ref="F19:J19"/>
    <mergeCell ref="L19:P19"/>
    <mergeCell ref="A20:D20"/>
    <mergeCell ref="L20:P20"/>
    <mergeCell ref="F21:J21"/>
    <mergeCell ref="L41:P41"/>
    <mergeCell ref="A42:D42"/>
    <mergeCell ref="A49:D49"/>
    <mergeCell ref="L54:P54"/>
    <mergeCell ref="S22:S23"/>
    <mergeCell ref="S24:S25"/>
    <mergeCell ref="A30:D30"/>
    <mergeCell ref="F32:J32"/>
    <mergeCell ref="L34:P34"/>
    <mergeCell ref="A35:D35"/>
    <mergeCell ref="A39:D39"/>
    <mergeCell ref="A22:D22"/>
    <mergeCell ref="A24:D24"/>
    <mergeCell ref="F25:J25"/>
    <mergeCell ref="A27:D27"/>
    <mergeCell ref="R27:V27"/>
  </mergeCells>
  <phoneticPr fontId="16" type="noConversion"/>
  <dataValidations count="17">
    <dataValidation type="custom" allowBlank="1" showInputMessage="1" showErrorMessage="1" error="input range is 0.1~10000.0,accurate to one decimal" sqref="B9">
      <formula1>AND(TRUNC(B9,1)=B9,(B9&gt;=0.1),(B9&lt;=10000))</formula1>
    </dataValidation>
    <dataValidation type="custom" allowBlank="1" showInputMessage="1" showErrorMessage="1" errorTitle="Invalid input value" error="minimum value  is 64,maximum value is 4096,step is 4" sqref="B2">
      <formula1>AND((B2&lt;=4096),(B2&gt;=64),(MOD(B2,4)=0))</formula1>
    </dataValidation>
    <dataValidation allowBlank="1" showInputMessage="1" showErrorMessage="1" error="输入范围是64~1024，步长为2" sqref="A1:B1"/>
    <dataValidation type="custom" allowBlank="1" showInputMessage="1" showErrorMessage="1" errorTitle="Invalid input value" error="input range is 64~2160,step is 2" sqref="B3">
      <formula1>AND((B3&lt;=2160),(B3&gt;=64),(MOD(B3,2)=0))</formula1>
    </dataValidation>
    <dataValidation type="custom" allowBlank="1" showInputMessage="1" showErrorMessage="1" error="please input 8 or 12" sqref="B5">
      <formula1>OR((B5=8),(B5=12))</formula1>
    </dataValidation>
    <dataValidation type="whole" allowBlank="1" showInputMessage="1" showErrorMessage="1" errorTitle="out of range " error="input range is 36us-1s" sqref="B4">
      <formula1>36</formula1>
      <formula2>1000000</formula2>
    </dataValidation>
    <dataValidation type="whole" allowBlank="1" showInputMessage="1" showErrorMessage="1" error="input range is 0~GevSCPDMaxValue" sqref="B7">
      <formula1>0</formula1>
      <formula2>B8</formula2>
    </dataValidation>
    <dataValidation type="custom" allowBlank="1" showInputMessage="1" showErrorMessage="1" error="input range is 512~8192,step is 4" sqref="B6">
      <formula1>AND((B6&lt;=8192),(B6&gt;=512),(MOD(B6,4)=0))</formula1>
    </dataValidation>
    <dataValidation type="list" allowBlank="1" showInputMessage="1" showErrorMessage="1" errorTitle="out of range " error="please input 0 or 1" sqref="B10">
      <formula1>"0,1"</formula1>
    </dataValidation>
    <dataValidation type="custom" allowBlank="1" showInputMessage="1" showErrorMessage="1" error="please input 1000 or 100" sqref="B11">
      <formula1>OR((B11=1000),(B11=100))</formula1>
    </dataValidation>
    <dataValidation type="list" allowBlank="1" showInputMessage="1" showErrorMessage="1" sqref="C19">
      <formula1>"mars-1230-9gx,mars-880-13gx,mars-1230-23u3x,mars-1231-32u3x,mars-880-32u3x,mars-881-44u3x"</formula1>
    </dataValidation>
    <dataValidation type="whole" allowBlank="1" showInputMessage="1" showErrorMessage="1" sqref="B12">
      <formula1>0</formula1>
      <formula2>B13</formula2>
    </dataValidation>
    <dataValidation type="whole" allowBlank="1" showInputMessage="1" showErrorMessage="1" errorTitle="超出范围" error="曝光延迟的范围是0-5000us" sqref="D26">
      <formula1>0</formula1>
      <formula2>5000</formula2>
    </dataValidation>
    <dataValidation type="list" allowBlank="1" showInputMessage="1" showErrorMessage="1" errorTitle="超出范围" error="0:关闭_x000a_1:打开" sqref="D40">
      <formula1>"0,1"</formula1>
    </dataValidation>
    <dataValidation type="whole" allowBlank="1" showInputMessage="1" showErrorMessage="1" sqref="D41">
      <formula1>35000000</formula1>
      <formula2>400000000</formula2>
    </dataValidation>
    <dataValidation type="whole" allowBlank="1" showInputMessage="1" showErrorMessage="1" errorTitle="超出范围" error="触发延时的范围是0-3000000us" sqref="D28:D29">
      <formula1>0</formula1>
      <formula2>3000000</formula2>
    </dataValidation>
    <dataValidation type="list" allowBlank="1" showInputMessage="1" showErrorMessage="1" sqref="D36:D38">
      <formula1>"0,1"</formula1>
    </dataValidation>
  </dataValidations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74"/>
  <sheetViews>
    <sheetView topLeftCell="B1" workbookViewId="0">
      <selection activeCell="C4" sqref="C4"/>
    </sheetView>
  </sheetViews>
  <sheetFormatPr defaultColWidth="9" defaultRowHeight="13.5"/>
  <cols>
    <col min="1" max="1" width="11.75" hidden="1" customWidth="1"/>
    <col min="2" max="2" width="30.875" customWidth="1"/>
    <col min="3" max="3" width="18.625" customWidth="1"/>
    <col min="4" max="4" width="10.5" customWidth="1"/>
    <col min="9" max="13" width="9" hidden="1" customWidth="1"/>
    <col min="14" max="15" width="9" customWidth="1"/>
  </cols>
  <sheetData>
    <row r="1" spans="1:4">
      <c r="A1" s="186" t="s">
        <v>310</v>
      </c>
      <c r="B1" s="186"/>
      <c r="C1" s="187"/>
    </row>
    <row r="2" spans="1:4">
      <c r="A2" s="186" t="s">
        <v>311</v>
      </c>
      <c r="B2" s="186" t="s">
        <v>312</v>
      </c>
      <c r="C2" s="186">
        <f>C48</f>
        <v>6464</v>
      </c>
    </row>
    <row r="3" spans="1:4">
      <c r="A3" s="186" t="s">
        <v>313</v>
      </c>
      <c r="B3" s="186" t="s">
        <v>314</v>
      </c>
      <c r="C3" s="186">
        <f>C49</f>
        <v>4852</v>
      </c>
    </row>
    <row r="4" spans="1:4">
      <c r="A4" s="186" t="s">
        <v>158</v>
      </c>
      <c r="B4" s="186" t="s">
        <v>28</v>
      </c>
      <c r="C4" s="187">
        <v>6464</v>
      </c>
      <c r="D4" s="7" t="str">
        <f>IF(OR(C4&gt;C2,C4&lt;64),J68,"")</f>
        <v/>
      </c>
    </row>
    <row r="5" spans="1:4">
      <c r="A5" s="186" t="s">
        <v>166</v>
      </c>
      <c r="B5" s="186" t="s">
        <v>29</v>
      </c>
      <c r="C5" s="187">
        <v>4852</v>
      </c>
      <c r="D5" s="7" t="str">
        <f>IF(OR(C5&gt;C3,C5&lt;64),J69,"")</f>
        <v/>
      </c>
    </row>
    <row r="6" spans="1:4">
      <c r="A6" s="186" t="s">
        <v>315</v>
      </c>
      <c r="B6" s="186" t="s">
        <v>316</v>
      </c>
      <c r="C6" s="187">
        <v>1</v>
      </c>
    </row>
    <row r="7" spans="1:4">
      <c r="A7" s="186" t="s">
        <v>317</v>
      </c>
      <c r="B7" s="186" t="s">
        <v>318</v>
      </c>
      <c r="C7" s="187">
        <v>1</v>
      </c>
    </row>
    <row r="8" spans="1:4">
      <c r="A8" s="186" t="s">
        <v>319</v>
      </c>
      <c r="B8" s="186" t="s">
        <v>320</v>
      </c>
      <c r="C8" s="187">
        <v>1</v>
      </c>
    </row>
    <row r="9" spans="1:4">
      <c r="A9" s="186" t="s">
        <v>321</v>
      </c>
      <c r="B9" s="186" t="s">
        <v>322</v>
      </c>
      <c r="C9" s="187">
        <v>1</v>
      </c>
    </row>
    <row r="10" spans="1:4">
      <c r="A10" s="186" t="s">
        <v>86</v>
      </c>
      <c r="B10" s="186" t="s">
        <v>30</v>
      </c>
      <c r="C10" s="187">
        <v>60000</v>
      </c>
    </row>
    <row r="11" spans="1:4" ht="15.6" customHeight="1">
      <c r="A11" s="186" t="s">
        <v>103</v>
      </c>
      <c r="B11" s="186" t="s">
        <v>323</v>
      </c>
      <c r="C11" s="187">
        <v>0</v>
      </c>
    </row>
    <row r="12" spans="1:4">
      <c r="A12" s="186" t="s">
        <v>65</v>
      </c>
      <c r="B12" s="186" t="s">
        <v>31</v>
      </c>
      <c r="C12" s="187">
        <v>8</v>
      </c>
    </row>
    <row r="13" spans="1:4">
      <c r="A13" s="186" t="s">
        <v>324</v>
      </c>
      <c r="B13" s="186" t="s">
        <v>32</v>
      </c>
      <c r="C13" s="187">
        <v>1500</v>
      </c>
    </row>
    <row r="14" spans="1:4">
      <c r="A14" s="186" t="s">
        <v>325</v>
      </c>
      <c r="B14" s="186" t="s">
        <v>33</v>
      </c>
      <c r="C14" s="187">
        <v>0</v>
      </c>
    </row>
    <row r="15" spans="1:4">
      <c r="A15" s="186" t="s">
        <v>232</v>
      </c>
      <c r="B15" s="186" t="s">
        <v>34</v>
      </c>
      <c r="C15" s="186">
        <f>C38</f>
        <v>50968</v>
      </c>
    </row>
    <row r="16" spans="1:4">
      <c r="A16" s="186" t="s">
        <v>326</v>
      </c>
      <c r="B16" s="186" t="s">
        <v>35</v>
      </c>
      <c r="C16" s="187">
        <v>3.4</v>
      </c>
    </row>
    <row r="17" spans="1:3">
      <c r="A17" s="186" t="s">
        <v>327</v>
      </c>
      <c r="B17" s="186" t="s">
        <v>36</v>
      </c>
      <c r="C17" s="187">
        <v>0</v>
      </c>
    </row>
    <row r="18" spans="1:3">
      <c r="A18" s="186" t="s">
        <v>328</v>
      </c>
      <c r="B18" s="186" t="s">
        <v>37</v>
      </c>
      <c r="C18" s="187">
        <v>1000</v>
      </c>
    </row>
    <row r="19" spans="1:3">
      <c r="A19" s="186" t="s">
        <v>329</v>
      </c>
      <c r="B19" s="186" t="s">
        <v>38</v>
      </c>
      <c r="C19" s="187">
        <v>10</v>
      </c>
    </row>
    <row r="20" spans="1:3">
      <c r="A20" s="186" t="s">
        <v>240</v>
      </c>
      <c r="B20" s="186" t="s">
        <v>39</v>
      </c>
      <c r="C20" s="186">
        <f>C41</f>
        <v>97</v>
      </c>
    </row>
    <row r="21" spans="1:3" ht="13.5" customHeight="1">
      <c r="A21" s="186"/>
      <c r="B21" s="186"/>
      <c r="C21" s="186"/>
    </row>
    <row r="22" spans="1:3" ht="12.75" customHeight="1">
      <c r="A22" s="188"/>
      <c r="B22" s="186"/>
      <c r="C22" s="186"/>
    </row>
    <row r="23" spans="1:3" ht="12.75" hidden="1" customHeight="1">
      <c r="A23" s="188" t="s">
        <v>67</v>
      </c>
      <c r="B23" s="186"/>
      <c r="C23" s="189">
        <f>IF(C12=8,32911,65822)</f>
        <v>32911</v>
      </c>
    </row>
    <row r="24" spans="1:3" ht="13.5" hidden="1" customHeight="1">
      <c r="A24" s="188" t="s">
        <v>330</v>
      </c>
      <c r="B24" s="186"/>
      <c r="C24" s="189">
        <f>C16*10</f>
        <v>34</v>
      </c>
    </row>
    <row r="25" spans="1:3" ht="13.5" hidden="1" customHeight="1">
      <c r="A25" s="188" t="s">
        <v>331</v>
      </c>
      <c r="B25" s="189"/>
      <c r="C25" s="189">
        <f>(C53+17)+28</f>
        <v>4897</v>
      </c>
    </row>
    <row r="26" spans="1:3" ht="13.5" hidden="1" customHeight="1">
      <c r="A26" s="188" t="s">
        <v>332</v>
      </c>
      <c r="B26" s="189"/>
      <c r="C26" s="189">
        <f>MAX(ROUNDUP(((1000*C10-30060)/C23),0),1)</f>
        <v>1823</v>
      </c>
    </row>
    <row r="27" spans="1:3" ht="13.5" hidden="1" customHeight="1">
      <c r="A27" s="188" t="s">
        <v>333</v>
      </c>
      <c r="B27" s="189"/>
      <c r="C27" s="189">
        <f>ROUNDDOWN(C11*1000/C23,0)</f>
        <v>0</v>
      </c>
    </row>
    <row r="28" spans="1:3" ht="13.5" hidden="1" customHeight="1">
      <c r="A28" s="188" t="s">
        <v>334</v>
      </c>
      <c r="B28" s="189"/>
      <c r="C28" s="189">
        <f>C26+C27+14</f>
        <v>1837</v>
      </c>
    </row>
    <row r="29" spans="1:3" ht="13.5" hidden="1" customHeight="1">
      <c r="A29" s="188" t="s">
        <v>335</v>
      </c>
      <c r="B29" s="189"/>
      <c r="C29" s="189">
        <v>0</v>
      </c>
    </row>
    <row r="30" spans="1:3" ht="13.5" hidden="1" customHeight="1">
      <c r="A30" s="188" t="s">
        <v>336</v>
      </c>
      <c r="B30" s="189"/>
      <c r="C30" s="189">
        <f>ROUNDDOWN((C4*C5*ROUNDUP(C12/8,0)+C29*36)/(C13-36),0)</f>
        <v>21423</v>
      </c>
    </row>
    <row r="31" spans="1:3" ht="13.5" hidden="1" customHeight="1">
      <c r="A31" s="188" t="s">
        <v>337</v>
      </c>
      <c r="B31" s="189"/>
      <c r="C31" s="189">
        <f>C4*C5*ROUNDUP(C12/8,0)+C29*32-(C13-36)*C30</f>
        <v>56</v>
      </c>
    </row>
    <row r="32" spans="1:3" ht="13.5" hidden="1" customHeight="1">
      <c r="A32" s="189" t="s">
        <v>338</v>
      </c>
      <c r="B32" s="189"/>
      <c r="C32" s="189">
        <f>ROUNDUP((ROUNDDOWN((((62+(C13-36))*C30+62+C31+(168-C29*24))+(C14+12)*(C30+3)),0)*1000/C33)*10/C23,0)</f>
        <v>8900</v>
      </c>
    </row>
    <row r="33" spans="1:4" ht="13.5" hidden="1" customHeight="1">
      <c r="A33" s="189" t="s">
        <v>298</v>
      </c>
      <c r="B33" s="189"/>
      <c r="C33" s="189">
        <f>INT(C18*(100-C19)/80)</f>
        <v>1125</v>
      </c>
    </row>
    <row r="34" spans="1:4" ht="13.5" hidden="1" customHeight="1">
      <c r="A34" s="189" t="s">
        <v>339</v>
      </c>
      <c r="B34" s="189"/>
      <c r="C34" s="189">
        <f>ROUNDUP((1000000000/C16)/C23,0)</f>
        <v>8937</v>
      </c>
    </row>
    <row r="35" spans="1:4" ht="13.5" hidden="1" customHeight="1">
      <c r="A35" s="189" t="s">
        <v>79</v>
      </c>
      <c r="B35" s="189"/>
      <c r="C35" s="189">
        <f>IF(C17=1,MAX(C25,C28,C32,C34),MAX(C25,C28,C32))</f>
        <v>8900</v>
      </c>
      <c r="D35" t="str">
        <f>DEC2HEX(C35)</f>
        <v>22C4</v>
      </c>
    </row>
    <row r="36" spans="1:4" ht="13.5" hidden="1" customHeight="1">
      <c r="A36" s="189" t="s">
        <v>60</v>
      </c>
      <c r="B36" s="189"/>
      <c r="C36" s="189">
        <f>1000000/C43</f>
        <v>3.414041268930859</v>
      </c>
    </row>
    <row r="37" spans="1:4" ht="13.5" hidden="1" customHeight="1">
      <c r="A37" s="189" t="s">
        <v>208</v>
      </c>
      <c r="B37" s="189"/>
      <c r="C37" s="189">
        <f>12500*C18*(100-C19)</f>
        <v>1125000000</v>
      </c>
    </row>
    <row r="38" spans="1:4" ht="13.5" hidden="1" customHeight="1">
      <c r="A38" s="189" t="s">
        <v>340</v>
      </c>
      <c r="B38" s="189"/>
      <c r="C38" s="189">
        <f>IF((ROUNDDOWN((C37-(62+C13-36)*C30-62-C31-168+C29*24)/(C30+3),0)-12)&gt;180000,180000,ROUNDDOWN((C37-(62+C13-36)*C30-62-C31-168+C29*24)/(C30+3),0)-12)</f>
        <v>50968</v>
      </c>
    </row>
    <row r="39" spans="1:4" ht="13.5" hidden="1" customHeight="1">
      <c r="A39" s="189" t="s">
        <v>215</v>
      </c>
      <c r="B39" s="189"/>
      <c r="C39" s="189">
        <f>((62+(C13-36))*C30+62+C31+168)+(C14+12)*(C30+3)</f>
        <v>32948896</v>
      </c>
    </row>
    <row r="40" spans="1:4" ht="13.5" hidden="1" customHeight="1">
      <c r="A40" s="189" t="s">
        <v>208</v>
      </c>
      <c r="B40" s="189"/>
      <c r="C40" s="189">
        <f>125000*C18</f>
        <v>125000000</v>
      </c>
    </row>
    <row r="41" spans="1:4" ht="13.5" hidden="1" customHeight="1">
      <c r="A41" s="189" t="s">
        <v>341</v>
      </c>
      <c r="B41" s="189"/>
      <c r="C41" s="189">
        <f>IF((100-ROUNDDOWN(C39*10/(1250000*C18/10),0)-1)&lt;0,0,(100-ROUNDDOWN(C39*10/(1250000*C18/10),0)-1))</f>
        <v>97</v>
      </c>
    </row>
    <row r="42" spans="1:4" ht="13.5" hidden="1" customHeight="1">
      <c r="A42" s="189" t="s">
        <v>342</v>
      </c>
      <c r="B42" s="189"/>
      <c r="C42" s="189">
        <f>ROUNDDOWN((C37-(62+C13-36)*C30-62-C31-168+C29*24)/(C30+3),0)-12</f>
        <v>50968</v>
      </c>
    </row>
    <row r="43" spans="1:4" ht="13.5" hidden="1" customHeight="1">
      <c r="A43" s="189" t="s">
        <v>343</v>
      </c>
      <c r="B43" s="189"/>
      <c r="C43" s="189">
        <f>ROUNDUP(C35*C23/1000,0)</f>
        <v>292908</v>
      </c>
    </row>
    <row r="44" spans="1:4" ht="13.5" hidden="1" customHeight="1">
      <c r="A44" s="189" t="s">
        <v>344</v>
      </c>
      <c r="B44" s="189"/>
      <c r="C44" s="189">
        <f>ROUNDDOWN(1000000000/C43,0)</f>
        <v>3414</v>
      </c>
    </row>
    <row r="45" spans="1:4" ht="13.5" hidden="1" customHeight="1">
      <c r="A45" s="189" t="s">
        <v>345</v>
      </c>
      <c r="B45" s="189"/>
      <c r="C45" s="189">
        <f>ROUNDDOWN(C4*C44/10*IF(C12=8,1,2)/10*C5/10,0)</f>
        <v>107074401</v>
      </c>
    </row>
    <row r="46" spans="1:4" ht="13.5" hidden="1" customHeight="1">
      <c r="A46" s="189" t="s">
        <v>346</v>
      </c>
      <c r="B46" s="189"/>
      <c r="C46" s="189">
        <f>ROUNDDOWN((C45*10/(100-C19)*10),)</f>
        <v>118971556</v>
      </c>
    </row>
    <row r="47" spans="1:4" ht="13.5" hidden="1" customHeight="1">
      <c r="A47" s="189"/>
      <c r="B47" s="189"/>
      <c r="C47" s="189"/>
    </row>
    <row r="48" spans="1:4" ht="13.5" hidden="1" customHeight="1">
      <c r="A48" s="189" t="s">
        <v>347</v>
      </c>
      <c r="B48" s="189"/>
      <c r="C48" s="189">
        <f>ROUNDDOWN(6464/(4*C50),0)*4</f>
        <v>6464</v>
      </c>
    </row>
    <row r="49" spans="1:4" ht="13.5" hidden="1" customHeight="1">
      <c r="A49" s="189" t="s">
        <v>348</v>
      </c>
      <c r="B49" s="189"/>
      <c r="C49" s="189">
        <f>ROUNDDOWN(4852/(2*C51),0)*2</f>
        <v>4852</v>
      </c>
    </row>
    <row r="50" spans="1:4" ht="13.5" hidden="1" customHeight="1">
      <c r="A50" s="189" t="s">
        <v>349</v>
      </c>
      <c r="B50" s="189"/>
      <c r="C50" s="189">
        <f>IF(C6=1,C8,C6)</f>
        <v>1</v>
      </c>
    </row>
    <row r="51" spans="1:4" ht="13.5" hidden="1" customHeight="1">
      <c r="A51" s="189" t="s">
        <v>350</v>
      </c>
      <c r="B51" s="189"/>
      <c r="C51" s="189">
        <f>IF(C7=1,C9,C7)</f>
        <v>1</v>
      </c>
    </row>
    <row r="52" spans="1:4" ht="13.5" hidden="1" customHeight="1">
      <c r="A52" s="189" t="s">
        <v>351</v>
      </c>
      <c r="B52" s="189"/>
      <c r="C52" s="189">
        <f>ROUNDDOWN(C56/4,0)*4*C50</f>
        <v>6464</v>
      </c>
    </row>
    <row r="53" spans="1:4" ht="13.5" hidden="1" customHeight="1">
      <c r="A53" s="189" t="s">
        <v>352</v>
      </c>
      <c r="B53" s="189"/>
      <c r="C53" s="189">
        <f>ROUNDDOWN(C57/2,0)*2*C51</f>
        <v>4852</v>
      </c>
    </row>
    <row r="54" spans="1:4" ht="13.5" hidden="1" customHeight="1">
      <c r="A54" s="189" t="s">
        <v>353</v>
      </c>
      <c r="B54" s="189"/>
      <c r="C54" s="189">
        <f>ROUNDDOWN(C4/4,0)*4*C50</f>
        <v>6464</v>
      </c>
    </row>
    <row r="55" spans="1:4" ht="13.5" hidden="1" customHeight="1">
      <c r="A55" s="189" t="s">
        <v>354</v>
      </c>
      <c r="B55" s="189"/>
      <c r="C55" s="189">
        <f>ROUNDDOWN(C5/2,0)*2*C51</f>
        <v>4852</v>
      </c>
    </row>
    <row r="56" spans="1:4" ht="13.5" hidden="1" customHeight="1">
      <c r="A56" s="189" t="s">
        <v>355</v>
      </c>
      <c r="B56" s="189"/>
      <c r="C56" s="189">
        <f>ROUNDDOWN(C54/(4*C50),0)*4</f>
        <v>6464</v>
      </c>
    </row>
    <row r="57" spans="1:4" ht="15" hidden="1" customHeight="1">
      <c r="A57" s="189" t="s">
        <v>356</v>
      </c>
      <c r="B57" s="189"/>
      <c r="C57" s="189">
        <f>ROUNDDOWN(C55/(2*C51),0)*2</f>
        <v>4852</v>
      </c>
    </row>
    <row r="58" spans="1:4" ht="12.75" hidden="1" customHeight="1">
      <c r="A58" s="189"/>
      <c r="B58" s="189"/>
      <c r="C58" s="189"/>
    </row>
    <row r="59" spans="1:4" ht="13.5" hidden="1" customHeight="1">
      <c r="A59" s="189"/>
      <c r="B59" s="189"/>
      <c r="C59" s="189"/>
    </row>
    <row r="60" spans="1:4" ht="13.5" hidden="1" customHeight="1">
      <c r="A60" s="190" t="s">
        <v>357</v>
      </c>
      <c r="B60" s="190"/>
      <c r="C60" s="190"/>
    </row>
    <row r="61" spans="1:4" ht="14.25">
      <c r="A61" s="190" t="s">
        <v>60</v>
      </c>
      <c r="B61" s="190" t="s">
        <v>40</v>
      </c>
      <c r="C61" s="190">
        <f>ROUND(C36,2)</f>
        <v>3.41</v>
      </c>
      <c r="D61" s="191" t="str">
        <f>IF(J74=1,J70,"")</f>
        <v/>
      </c>
    </row>
    <row r="67" spans="10:10">
      <c r="J67" t="s">
        <v>358</v>
      </c>
    </row>
    <row r="68" spans="10:10">
      <c r="J68" t="s">
        <v>359</v>
      </c>
    </row>
    <row r="69" spans="10:10">
      <c r="J69" t="s">
        <v>360</v>
      </c>
    </row>
    <row r="70" spans="10:10">
      <c r="J70" t="s">
        <v>361</v>
      </c>
    </row>
    <row r="73" spans="10:10">
      <c r="J73" t="s">
        <v>362</v>
      </c>
    </row>
    <row r="74" spans="10:10">
      <c r="J74">
        <f>IF(OR(OR(C4&gt;C2,C4&lt;64),OR(C5&gt;C3,C5&lt;64)),1,0)</f>
        <v>0</v>
      </c>
    </row>
  </sheetData>
  <sheetProtection password="DE11" sheet="1" objects="1" selectLockedCells="1"/>
  <phoneticPr fontId="16" type="noConversion"/>
  <conditionalFormatting sqref="C4">
    <cfRule type="cellIs" dxfId="31" priority="2" operator="lessThan">
      <formula>64</formula>
    </cfRule>
    <cfRule type="cellIs" dxfId="30" priority="3" operator="greaterThan">
      <formula>$C$2</formula>
    </cfRule>
  </conditionalFormatting>
  <conditionalFormatting sqref="C5">
    <cfRule type="cellIs" dxfId="29" priority="4" stopIfTrue="1" operator="lessThan">
      <formula>64</formula>
    </cfRule>
    <cfRule type="cellIs" dxfId="28" priority="5" stopIfTrue="1" operator="greaterThan">
      <formula>$C$3</formula>
    </cfRule>
  </conditionalFormatting>
  <conditionalFormatting sqref="C61">
    <cfRule type="expression" dxfId="27" priority="1" stopIfTrue="1">
      <formula>$J$8=1</formula>
    </cfRule>
  </conditionalFormatting>
  <dataValidations count="19">
    <dataValidation allowBlank="1" showErrorMessage="1" promptTitle="参数变化" prompt="该参数会根据当前生效的水平像素Binning、水平像素抽样变化" sqref="C2"/>
    <dataValidation type="custom" allowBlank="1" showInputMessage="1" showErrorMessage="1" errorTitle="Input parameter error" error="Input 1, 2 or 4, and can not be entered when the 'BinningHorizontal' is not 1" sqref="C8">
      <formula1>AND(OR((C8=1),(C8=2),(C8=4)),C6=1)</formula1>
    </dataValidation>
    <dataValidation type="whole" allowBlank="1" showInputMessage="1" showErrorMessage="1" errorTitle="Input parameter error" error="Input range:[0, 'BandwidthReserveMaxValue'], and is an integer multiple of 1" sqref="C19">
      <formula1>0</formula1>
      <formula2>C20</formula2>
    </dataValidation>
    <dataValidation type="custom" allowBlank="1" showInputMessage="1" showErrorMessage="1" errorTitle="Input parameter error" error="Input range:[64, 'HeightMax'],and is an integer multiple of 2" sqref="C5">
      <formula1>AND((C5&lt;=C3),(C5&gt;=64),(MOD(C5,2)=0))</formula1>
    </dataValidation>
    <dataValidation type="custom" allowBlank="1" showInputMessage="1" showErrorMessage="1" errorTitle="Input parameter error" error="Input 1, 2 or 4, and can not be entered when the 'BinningVertical' is not 1" sqref="C9">
      <formula1>AND(OR((C9=1),(C9=2),(C9=4)),C7=1)</formula1>
    </dataValidation>
    <dataValidation type="custom" allowBlank="1" showInputMessage="1" showErrorMessage="1" errorTitle="Input parameter error" error="Input range:[64, 'WidthMax'],and is an integer multiple of 4" sqref="C4">
      <formula1>AND((C4&lt;=C2),(C4&gt;=64),(MOD(C4,4)=0))</formula1>
    </dataValidation>
    <dataValidation allowBlank="1" showErrorMessage="1" promptTitle="参数变化" prompt="该参数会根据当前生效的垂直像素Binning、垂直像素抽样变化" sqref="C3"/>
    <dataValidation type="whole" allowBlank="1" showInputMessage="1" showErrorMessage="1" errorTitle="Input parameter error" error="Input range:[0, 'GevSCPDMaxValue'], and is an integer multiple of 1" sqref="C14">
      <formula1>0</formula1>
      <formula2>C15</formula2>
    </dataValidation>
    <dataValidation type="custom" allowBlank="1" showInputMessage="1" showErrorMessage="1" errorTitle="Input parameter error" error="Input 1, 2 or 4, and can not be entered when the 'DecimationHorizontal' is not 1" sqref="C6">
      <formula1>AND(OR((C6=1),(C6=2),(C6=4)),C8=1)</formula1>
    </dataValidation>
    <dataValidation type="custom" allowBlank="1" showInputMessage="1" showErrorMessage="1" errorTitle="Input parameter error" error="Input 1, 2 or 4, and can not be entered when the 'DecimationVertical' is not 1" sqref="C7">
      <formula1>AND(OR((C7=1),(C7=2),(C7=4)),C9=1)</formula1>
    </dataValidation>
    <dataValidation type="whole" allowBlank="1" showInputMessage="1" showErrorMessage="1" errorTitle="Input parameter error" error="Input range:[63, 1000000]" sqref="C10">
      <formula1>63</formula1>
      <formula2>1000000</formula2>
    </dataValidation>
    <dataValidation type="whole" allowBlank="1" showInputMessage="1" showErrorMessage="1" errorTitle="Input parameter error" error="Input range:[0, 5000]" sqref="C11">
      <formula1>0</formula1>
      <formula2>5000</formula2>
    </dataValidation>
    <dataValidation type="whole" allowBlank="1" error="设置值超过包间隔范围" prompt="设置值应在预留带宽范围内" sqref="C20">
      <formula1>0</formula1>
      <formula2>C41</formula2>
    </dataValidation>
    <dataValidation type="custom" allowBlank="1" showInputMessage="1" showErrorMessage="1" errorTitle="Input parameter error" error="Input range:[512, 8192],and is an integer multiple of 4" sqref="C13">
      <formula1>AND((C13&lt;=8192),(C13&gt;=512),(MOD(C13,4)=0))</formula1>
    </dataValidation>
    <dataValidation type="custom" allowBlank="1" showInputMessage="1" showErrorMessage="1" errorTitle="Input parameter error" error="Input 8 or 12" sqref="C12">
      <formula1>OR((C12=8),(C12=12))</formula1>
    </dataValidation>
    <dataValidation type="whole" allowBlank="1" showErrorMessage="1" error="设置值超过最大值" prompt="应在包间隔范围内" sqref="C15">
      <formula1>0</formula1>
      <formula2>C38</formula2>
    </dataValidation>
    <dataValidation type="custom" allowBlank="1" showErrorMessage="1" errorTitle="Input parameter error" error="Input range:[0.1, 10000]" prompt="应在包间隔范围内" sqref="C16">
      <formula1>AND(TRUNC(C16,1)=C16,(C16&gt;=0.1),(C16&lt;=10000))</formula1>
    </dataValidation>
    <dataValidation type="custom" allowBlank="1" showErrorMessage="1" errorTitle="Input parameter error" error="Input 0 or 1" prompt="应在包间隔范围内" sqref="C17">
      <formula1>OR((C17=0),(C17=1))</formula1>
    </dataValidation>
    <dataValidation type="custom" allowBlank="1" showInputMessage="1" showErrorMessage="1" errorTitle="Input parameter error" error="Input 1000 or 100" sqref="C18">
      <formula1>OR((C18=1000),(C18=100))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S92"/>
  <sheetViews>
    <sheetView topLeftCell="B1" workbookViewId="0">
      <selection activeCell="C6" sqref="C6"/>
    </sheetView>
  </sheetViews>
  <sheetFormatPr defaultColWidth="9" defaultRowHeight="13.5"/>
  <cols>
    <col min="1" max="1" width="20" style="112" hidden="1" customWidth="1"/>
    <col min="2" max="2" width="29" style="112" customWidth="1"/>
    <col min="3" max="3" width="19" style="112" customWidth="1"/>
    <col min="4" max="4" width="23.125" style="112" customWidth="1"/>
    <col min="5" max="5" width="19" style="112" customWidth="1"/>
    <col min="6" max="7" width="10" style="112" customWidth="1"/>
    <col min="8" max="8" width="6.125" style="112" customWidth="1"/>
    <col min="9" max="9" width="15.125" style="112" customWidth="1"/>
    <col min="10" max="10" width="24.5" style="112" customWidth="1"/>
    <col min="11" max="11" width="28.625" style="112" customWidth="1"/>
    <col min="12" max="12" width="16.125" style="112" customWidth="1"/>
    <col min="13" max="13" width="7.5" style="112" customWidth="1"/>
    <col min="14" max="14" width="4.5" style="112" customWidth="1"/>
    <col min="15" max="15" width="19.625" style="112" customWidth="1"/>
    <col min="16" max="16" width="27.25" style="112" customWidth="1"/>
    <col min="17" max="17" width="29" style="112" customWidth="1"/>
    <col min="18" max="18" width="12.75" style="112" customWidth="1"/>
    <col min="19" max="19" width="9.625" style="112" customWidth="1"/>
    <col min="20" max="20" width="4.875" style="112" customWidth="1"/>
    <col min="21" max="21" width="17" style="112" customWidth="1"/>
    <col min="22" max="23" width="15.625" style="112" customWidth="1"/>
    <col min="24" max="24" width="15.75" style="112" customWidth="1"/>
    <col min="25" max="25" width="16.375" style="112" customWidth="1"/>
    <col min="26" max="26" width="18.875" style="112" customWidth="1"/>
    <col min="27" max="27" width="14.875" style="112" customWidth="1"/>
    <col min="28" max="28" width="15.25" style="112" customWidth="1"/>
    <col min="29" max="29" width="20.5" style="112" customWidth="1"/>
    <col min="30" max="30" width="22" style="112" customWidth="1"/>
    <col min="31" max="31" width="21.625" style="112" customWidth="1"/>
    <col min="32" max="32" width="20.625" style="112" customWidth="1"/>
    <col min="33" max="33" width="10" style="112" customWidth="1"/>
    <col min="34" max="34" width="9.75" style="112" customWidth="1"/>
    <col min="35" max="35" width="13.25" style="112" customWidth="1"/>
    <col min="36" max="36" width="13.875" style="112" customWidth="1"/>
    <col min="37" max="37" width="12.5" style="112" customWidth="1"/>
    <col min="38" max="38" width="23.875" style="112" customWidth="1"/>
    <col min="39" max="39" width="22.125" style="112" customWidth="1"/>
    <col min="40" max="40" width="17.5" style="112" customWidth="1"/>
    <col min="41" max="16384" width="9" style="112"/>
  </cols>
  <sheetData>
    <row r="1" spans="1:4">
      <c r="A1" s="2" t="s">
        <v>310</v>
      </c>
      <c r="B1" s="2"/>
      <c r="C1" s="3"/>
    </row>
    <row r="2" spans="1:4">
      <c r="A2" s="4" t="s">
        <v>311</v>
      </c>
      <c r="B2" s="4" t="s">
        <v>312</v>
      </c>
      <c r="C2" s="5">
        <f>E51/C6</f>
        <v>5120</v>
      </c>
    </row>
    <row r="3" spans="1:4">
      <c r="A3" s="4" t="s">
        <v>313</v>
      </c>
      <c r="B3" s="4" t="s">
        <v>314</v>
      </c>
      <c r="C3" s="5">
        <f>E52/C7</f>
        <v>5120</v>
      </c>
    </row>
    <row r="4" spans="1:4">
      <c r="A4" s="2" t="s">
        <v>158</v>
      </c>
      <c r="B4" s="2" t="s">
        <v>28</v>
      </c>
      <c r="C4" s="6">
        <v>5120</v>
      </c>
      <c r="D4" s="113" t="str">
        <f>IF(OR(C4&gt;C2,C4&lt;4),I24,"")</f>
        <v/>
      </c>
    </row>
    <row r="5" spans="1:4">
      <c r="A5" s="2" t="s">
        <v>166</v>
      </c>
      <c r="B5" s="2" t="s">
        <v>29</v>
      </c>
      <c r="C5" s="6">
        <v>5120</v>
      </c>
      <c r="D5" s="113" t="str">
        <f>IF(OR(C5&gt;C3,C5&lt;2),I25,"")</f>
        <v/>
      </c>
    </row>
    <row r="6" spans="1:4">
      <c r="A6" s="4" t="s">
        <v>319</v>
      </c>
      <c r="B6" s="4" t="s">
        <v>320</v>
      </c>
      <c r="C6" s="8">
        <v>1</v>
      </c>
    </row>
    <row r="7" spans="1:4">
      <c r="A7" s="4" t="s">
        <v>321</v>
      </c>
      <c r="B7" s="4" t="s">
        <v>322</v>
      </c>
      <c r="C7" s="8">
        <v>1</v>
      </c>
    </row>
    <row r="8" spans="1:4">
      <c r="A8" s="2" t="s">
        <v>86</v>
      </c>
      <c r="B8" s="2" t="s">
        <v>30</v>
      </c>
      <c r="C8" s="6">
        <v>60000</v>
      </c>
    </row>
    <row r="9" spans="1:4">
      <c r="A9" s="4" t="s">
        <v>103</v>
      </c>
      <c r="B9" s="4" t="s">
        <v>323</v>
      </c>
      <c r="C9" s="8">
        <v>0</v>
      </c>
    </row>
    <row r="10" spans="1:4">
      <c r="A10" s="2" t="s">
        <v>65</v>
      </c>
      <c r="B10" s="2" t="s">
        <v>31</v>
      </c>
      <c r="C10" s="6">
        <v>8</v>
      </c>
    </row>
    <row r="11" spans="1:4">
      <c r="A11" s="2" t="s">
        <v>324</v>
      </c>
      <c r="B11" s="2" t="s">
        <v>32</v>
      </c>
      <c r="C11" s="6">
        <v>1500</v>
      </c>
    </row>
    <row r="12" spans="1:4">
      <c r="A12" s="2" t="s">
        <v>325</v>
      </c>
      <c r="B12" s="2" t="s">
        <v>33</v>
      </c>
      <c r="C12" s="6">
        <v>0</v>
      </c>
    </row>
    <row r="13" spans="1:4">
      <c r="A13" s="2" t="s">
        <v>232</v>
      </c>
      <c r="B13" s="2" t="s">
        <v>34</v>
      </c>
      <c r="C13" s="11">
        <f>L59</f>
        <v>61279</v>
      </c>
    </row>
    <row r="14" spans="1:4">
      <c r="A14" s="2" t="s">
        <v>363</v>
      </c>
      <c r="B14" s="2" t="s">
        <v>35</v>
      </c>
      <c r="C14" s="6">
        <v>4.5</v>
      </c>
    </row>
    <row r="15" spans="1:4">
      <c r="A15" s="2" t="s">
        <v>243</v>
      </c>
      <c r="B15" s="2" t="s">
        <v>36</v>
      </c>
      <c r="C15" s="6">
        <v>0</v>
      </c>
    </row>
    <row r="16" spans="1:4">
      <c r="A16" s="2" t="s">
        <v>328</v>
      </c>
      <c r="B16" s="2" t="s">
        <v>37</v>
      </c>
      <c r="C16" s="6">
        <v>1000</v>
      </c>
    </row>
    <row r="17" spans="1:9">
      <c r="A17" s="2" t="s">
        <v>329</v>
      </c>
      <c r="B17" s="2" t="s">
        <v>38</v>
      </c>
      <c r="C17" s="6">
        <v>10</v>
      </c>
    </row>
    <row r="18" spans="1:9">
      <c r="A18" s="2" t="s">
        <v>240</v>
      </c>
      <c r="B18" s="2" t="s">
        <v>39</v>
      </c>
      <c r="C18" s="11">
        <f>L61</f>
        <v>97</v>
      </c>
    </row>
    <row r="19" spans="1:9">
      <c r="A19" s="2"/>
      <c r="B19" s="2"/>
      <c r="C19" s="11"/>
    </row>
    <row r="20" spans="1:9" ht="14.25">
      <c r="A20" s="13" t="s">
        <v>357</v>
      </c>
      <c r="B20" s="13"/>
      <c r="C20" s="114"/>
    </row>
    <row r="21" spans="1:9" ht="14.25">
      <c r="A21" s="13" t="s">
        <v>60</v>
      </c>
      <c r="B21" s="13" t="s">
        <v>40</v>
      </c>
      <c r="C21" s="14">
        <f>L43</f>
        <v>4.0849673202614376</v>
      </c>
      <c r="D21" s="113" t="str">
        <f>IF(I30,I26,"")</f>
        <v/>
      </c>
    </row>
    <row r="22" spans="1:9" hidden="1"/>
    <row r="23" spans="1:9" hidden="1">
      <c r="I23" s="12" t="s">
        <v>364</v>
      </c>
    </row>
    <row r="24" spans="1:9" hidden="1">
      <c r="I24" s="12" t="s">
        <v>365</v>
      </c>
    </row>
    <row r="25" spans="1:9" hidden="1">
      <c r="I25" s="12" t="s">
        <v>366</v>
      </c>
    </row>
    <row r="26" spans="1:9" hidden="1">
      <c r="I26" s="12" t="s">
        <v>367</v>
      </c>
    </row>
    <row r="27" spans="1:9" hidden="1">
      <c r="I27" s="12"/>
    </row>
    <row r="28" spans="1:9" hidden="1">
      <c r="I28" s="12"/>
    </row>
    <row r="29" spans="1:9" hidden="1">
      <c r="I29" s="12" t="s">
        <v>368</v>
      </c>
    </row>
    <row r="30" spans="1:9" hidden="1">
      <c r="I30" s="12">
        <f>IF(OR(OR(C4&gt;C2,C4&lt;4),OR(C5&gt;C3,C5&lt;2)),1,0)</f>
        <v>0</v>
      </c>
    </row>
    <row r="31" spans="1:9" hidden="1"/>
    <row r="32" spans="1:9" hidden="1"/>
    <row r="33" spans="3:45" hidden="1"/>
    <row r="34" spans="3:45" hidden="1"/>
    <row r="35" spans="3:45" hidden="1"/>
    <row r="36" spans="3:45" hidden="1"/>
    <row r="37" spans="3:45" hidden="1">
      <c r="C37" s="115"/>
      <c r="D37" s="115"/>
      <c r="F37" s="115"/>
      <c r="G37" s="115"/>
      <c r="U37" s="115"/>
      <c r="V37" s="115"/>
      <c r="W37" s="115"/>
      <c r="X37" s="115"/>
      <c r="Y37" s="115"/>
      <c r="Z37" s="115"/>
    </row>
    <row r="38" spans="3:45" hidden="1">
      <c r="C38" s="116" t="s">
        <v>41</v>
      </c>
      <c r="D38" s="116" t="s">
        <v>42</v>
      </c>
      <c r="E38" s="117" t="s">
        <v>369</v>
      </c>
      <c r="F38" s="118"/>
      <c r="G38" s="118"/>
      <c r="H38" s="118"/>
      <c r="I38" s="267" t="s">
        <v>44</v>
      </c>
      <c r="J38" s="268"/>
      <c r="K38" s="268"/>
      <c r="L38" s="268"/>
      <c r="M38" s="269"/>
      <c r="N38" s="136"/>
      <c r="O38" s="267" t="s">
        <v>45</v>
      </c>
      <c r="P38" s="268"/>
      <c r="Q38" s="268"/>
      <c r="R38" s="268"/>
      <c r="S38" s="269"/>
      <c r="T38" s="136"/>
      <c r="U38" s="270" t="s">
        <v>370</v>
      </c>
      <c r="V38" s="271"/>
      <c r="W38" s="271"/>
      <c r="X38" s="271"/>
      <c r="Y38" s="271"/>
      <c r="Z38" s="271"/>
      <c r="AA38" s="271"/>
      <c r="AB38" s="271"/>
      <c r="AC38" s="271"/>
      <c r="AD38" s="271"/>
      <c r="AE38" s="271"/>
      <c r="AF38" s="271"/>
      <c r="AG38" s="271"/>
      <c r="AH38" s="271"/>
      <c r="AI38" s="271"/>
      <c r="AJ38" s="271"/>
      <c r="AK38" s="271"/>
      <c r="AL38" s="271"/>
      <c r="AM38" s="271"/>
      <c r="AN38" s="271"/>
      <c r="AO38" s="271"/>
      <c r="AP38" s="271"/>
      <c r="AQ38" s="271"/>
      <c r="AR38" s="271"/>
      <c r="AS38" s="272"/>
    </row>
    <row r="39" spans="3:45" ht="54" hidden="1">
      <c r="C39" s="267" t="s">
        <v>371</v>
      </c>
      <c r="D39" s="268"/>
      <c r="E39" s="268"/>
      <c r="F39" s="268"/>
      <c r="G39" s="269"/>
      <c r="H39" s="118"/>
      <c r="I39" s="264" t="s">
        <v>60</v>
      </c>
      <c r="J39" s="265"/>
      <c r="K39" s="265"/>
      <c r="L39" s="265"/>
      <c r="M39" s="266"/>
      <c r="N39" s="136"/>
      <c r="O39" s="264" t="s">
        <v>372</v>
      </c>
      <c r="P39" s="265"/>
      <c r="Q39" s="265"/>
      <c r="R39" s="265"/>
      <c r="S39" s="266"/>
      <c r="T39" s="136"/>
      <c r="U39" s="155" t="s">
        <v>373</v>
      </c>
      <c r="V39" s="156" t="s">
        <v>374</v>
      </c>
      <c r="W39" s="156" t="s">
        <v>375</v>
      </c>
      <c r="X39" s="156" t="s">
        <v>376</v>
      </c>
      <c r="Y39" s="156" t="s">
        <v>377</v>
      </c>
      <c r="Z39" s="156" t="s">
        <v>378</v>
      </c>
      <c r="AA39" s="156" t="s">
        <v>379</v>
      </c>
      <c r="AB39" s="156" t="s">
        <v>380</v>
      </c>
      <c r="AC39" s="156" t="s">
        <v>381</v>
      </c>
      <c r="AD39" s="156" t="s">
        <v>382</v>
      </c>
      <c r="AE39" s="156" t="s">
        <v>383</v>
      </c>
      <c r="AF39" s="156" t="s">
        <v>384</v>
      </c>
      <c r="AG39" s="156" t="s">
        <v>385</v>
      </c>
      <c r="AH39" s="156" t="s">
        <v>386</v>
      </c>
      <c r="AI39" s="156" t="s">
        <v>387</v>
      </c>
      <c r="AJ39" s="156" t="s">
        <v>388</v>
      </c>
      <c r="AK39" s="156" t="s">
        <v>389</v>
      </c>
      <c r="AL39" s="156" t="s">
        <v>390</v>
      </c>
      <c r="AM39" s="156" t="s">
        <v>391</v>
      </c>
      <c r="AN39" s="170" t="s">
        <v>392</v>
      </c>
      <c r="AO39" s="156" t="s">
        <v>393</v>
      </c>
      <c r="AP39" s="156" t="s">
        <v>394</v>
      </c>
      <c r="AQ39" s="156" t="s">
        <v>395</v>
      </c>
      <c r="AR39" s="156" t="s">
        <v>396</v>
      </c>
      <c r="AS39" s="174" t="s">
        <v>397</v>
      </c>
    </row>
    <row r="40" spans="3:45" ht="27" hidden="1">
      <c r="C40" s="119" t="s">
        <v>48</v>
      </c>
      <c r="D40" s="120" t="s">
        <v>49</v>
      </c>
      <c r="E40" s="120" t="s">
        <v>58</v>
      </c>
      <c r="F40" s="120" t="s">
        <v>398</v>
      </c>
      <c r="G40" s="121" t="s">
        <v>52</v>
      </c>
      <c r="H40" s="118"/>
      <c r="I40" s="137" t="s">
        <v>48</v>
      </c>
      <c r="J40" s="138" t="s">
        <v>49</v>
      </c>
      <c r="K40" s="138" t="s">
        <v>50</v>
      </c>
      <c r="L40" s="138" t="s">
        <v>51</v>
      </c>
      <c r="M40" s="139" t="s">
        <v>52</v>
      </c>
      <c r="N40" s="136"/>
      <c r="O40" s="119" t="s">
        <v>48</v>
      </c>
      <c r="P40" s="120" t="s">
        <v>49</v>
      </c>
      <c r="Q40" s="120" t="s">
        <v>50</v>
      </c>
      <c r="R40" s="120" t="s">
        <v>61</v>
      </c>
      <c r="S40" s="157" t="s">
        <v>52</v>
      </c>
      <c r="T40" s="136"/>
      <c r="U40" s="158" t="s">
        <v>369</v>
      </c>
      <c r="V40" s="159" t="s">
        <v>399</v>
      </c>
      <c r="W40" s="159">
        <v>60</v>
      </c>
      <c r="X40" s="159">
        <v>50</v>
      </c>
      <c r="Y40" s="165">
        <v>1</v>
      </c>
      <c r="Z40" s="165">
        <v>4</v>
      </c>
      <c r="AA40" s="165">
        <v>128</v>
      </c>
      <c r="AB40" s="165">
        <v>4</v>
      </c>
      <c r="AC40" s="159">
        <v>5376</v>
      </c>
      <c r="AD40" s="159">
        <v>1</v>
      </c>
      <c r="AE40" s="159">
        <v>5376</v>
      </c>
      <c r="AF40" s="159">
        <v>5184</v>
      </c>
      <c r="AG40" s="165">
        <f>ROUNDUP((6*AH40/$R$41)*1000,0)+ROUNDUP(2*$L$41,0)</f>
        <v>74400</v>
      </c>
      <c r="AH40" s="171">
        <f>IF(F42=8,124,248)</f>
        <v>124</v>
      </c>
      <c r="AI40" s="171">
        <v>12</v>
      </c>
      <c r="AJ40" s="171">
        <v>2</v>
      </c>
      <c r="AK40" s="171">
        <v>636</v>
      </c>
      <c r="AL40" s="171">
        <v>6</v>
      </c>
      <c r="AM40" s="171">
        <v>14</v>
      </c>
      <c r="AN40" s="172">
        <v>1</v>
      </c>
      <c r="AO40" s="159" t="s">
        <v>77</v>
      </c>
      <c r="AP40" s="159">
        <v>60000</v>
      </c>
      <c r="AQ40" s="171">
        <v>5120</v>
      </c>
      <c r="AR40" s="171">
        <v>5120</v>
      </c>
      <c r="AS40" s="175">
        <v>4</v>
      </c>
    </row>
    <row r="41" spans="3:45" ht="27" hidden="1">
      <c r="C41" s="264" t="s">
        <v>65</v>
      </c>
      <c r="D41" s="265"/>
      <c r="E41" s="265"/>
      <c r="F41" s="265"/>
      <c r="G41" s="266"/>
      <c r="H41" s="118"/>
      <c r="I41" s="122" t="s">
        <v>400</v>
      </c>
      <c r="J41" s="123" t="s">
        <v>401</v>
      </c>
      <c r="K41" s="128" t="s">
        <v>402</v>
      </c>
      <c r="L41" s="140">
        <f>ROUNDUP(1000*R44*R42/R41,0)</f>
        <v>29760</v>
      </c>
      <c r="M41" s="122" t="s">
        <v>69</v>
      </c>
      <c r="N41" s="136"/>
      <c r="O41" s="122" t="s">
        <v>403</v>
      </c>
      <c r="P41" s="123" t="s">
        <v>404</v>
      </c>
      <c r="Q41" s="123" t="s">
        <v>405</v>
      </c>
      <c r="R41" s="143">
        <f>VLOOKUP($E$38,$U$40:$AS$43,4,FALSE)</f>
        <v>50</v>
      </c>
      <c r="S41" s="144" t="s">
        <v>406</v>
      </c>
      <c r="T41" s="136"/>
      <c r="U41" s="160"/>
      <c r="V41" s="160"/>
      <c r="W41" s="160"/>
      <c r="X41" s="160"/>
      <c r="Y41" s="166"/>
      <c r="Z41" s="166"/>
      <c r="AA41" s="166"/>
      <c r="AB41" s="166"/>
      <c r="AC41" s="160"/>
      <c r="AD41" s="160"/>
      <c r="AE41" s="160"/>
      <c r="AF41" s="160"/>
      <c r="AG41" s="166"/>
      <c r="AH41" s="173"/>
      <c r="AI41" s="173"/>
      <c r="AJ41" s="173"/>
      <c r="AK41" s="173"/>
      <c r="AL41" s="173"/>
      <c r="AM41" s="173"/>
      <c r="AN41" s="160"/>
      <c r="AO41" s="160"/>
      <c r="AP41" s="160"/>
      <c r="AQ41" s="173"/>
      <c r="AR41" s="173"/>
      <c r="AS41" s="160"/>
    </row>
    <row r="42" spans="3:45" ht="40.5" hidden="1">
      <c r="C42" s="122" t="s">
        <v>407</v>
      </c>
      <c r="D42" s="123" t="s">
        <v>65</v>
      </c>
      <c r="E42" s="123">
        <v>8</v>
      </c>
      <c r="F42" s="124">
        <f>C10</f>
        <v>8</v>
      </c>
      <c r="G42" s="125" t="s">
        <v>84</v>
      </c>
      <c r="H42" s="118"/>
      <c r="I42" s="122" t="s">
        <v>408</v>
      </c>
      <c r="J42" s="123" t="s">
        <v>79</v>
      </c>
      <c r="K42" s="128" t="s">
        <v>409</v>
      </c>
      <c r="L42" s="140">
        <f>MAX(L45,L46,L47,L48)+L53</f>
        <v>244800</v>
      </c>
      <c r="M42" s="122" t="s">
        <v>81</v>
      </c>
      <c r="N42" s="131"/>
      <c r="O42" s="122" t="s">
        <v>410</v>
      </c>
      <c r="P42" s="123" t="s">
        <v>410</v>
      </c>
      <c r="Q42" s="123" t="s">
        <v>405</v>
      </c>
      <c r="R42" s="143">
        <f>VLOOKUP($E$38,$U$40:$AS$43,14,FALSE)</f>
        <v>124</v>
      </c>
      <c r="S42" s="144" t="s">
        <v>100</v>
      </c>
      <c r="T42" s="131"/>
      <c r="U42" s="160"/>
      <c r="V42" s="160"/>
      <c r="W42" s="160"/>
      <c r="X42" s="160"/>
      <c r="Y42" s="166"/>
      <c r="Z42" s="166"/>
      <c r="AA42" s="166"/>
      <c r="AB42" s="166"/>
      <c r="AC42" s="160"/>
      <c r="AD42" s="160"/>
      <c r="AE42" s="160"/>
      <c r="AF42" s="160"/>
      <c r="AG42" s="166"/>
      <c r="AH42" s="173"/>
      <c r="AI42" s="173"/>
      <c r="AJ42" s="173"/>
      <c r="AK42" s="173"/>
      <c r="AL42" s="173"/>
      <c r="AM42" s="173"/>
      <c r="AN42" s="160"/>
      <c r="AO42" s="160"/>
      <c r="AP42" s="160"/>
      <c r="AQ42" s="173"/>
      <c r="AR42" s="173"/>
      <c r="AS42" s="160"/>
    </row>
    <row r="43" spans="3:45" hidden="1">
      <c r="C43" s="264" t="s">
        <v>86</v>
      </c>
      <c r="D43" s="265"/>
      <c r="E43" s="265"/>
      <c r="F43" s="265"/>
      <c r="G43" s="266"/>
      <c r="H43" s="118"/>
      <c r="I43" s="122" t="s">
        <v>411</v>
      </c>
      <c r="J43" s="123" t="s">
        <v>60</v>
      </c>
      <c r="K43" s="128" t="s">
        <v>412</v>
      </c>
      <c r="L43" s="141">
        <f>1000000/L42</f>
        <v>4.0849673202614376</v>
      </c>
      <c r="M43" s="122" t="s">
        <v>89</v>
      </c>
      <c r="N43" s="131"/>
      <c r="O43" s="122" t="s">
        <v>413</v>
      </c>
      <c r="P43" s="123" t="s">
        <v>414</v>
      </c>
      <c r="Q43" s="123" t="s">
        <v>405</v>
      </c>
      <c r="R43" s="143">
        <f>VLOOKUP($E$38,$U$40:$AS$43,13,FALSE)</f>
        <v>74400</v>
      </c>
      <c r="S43" s="144" t="s">
        <v>69</v>
      </c>
      <c r="T43" s="131"/>
      <c r="U43" s="160"/>
      <c r="V43" s="160"/>
      <c r="W43" s="160"/>
      <c r="X43" s="160"/>
      <c r="Y43" s="166"/>
      <c r="Z43" s="166"/>
      <c r="AA43" s="166"/>
      <c r="AB43" s="166"/>
      <c r="AC43" s="160"/>
      <c r="AD43" s="160"/>
      <c r="AE43" s="160"/>
      <c r="AF43" s="160"/>
      <c r="AG43" s="173"/>
      <c r="AH43" s="173"/>
      <c r="AI43" s="173"/>
      <c r="AJ43" s="173"/>
      <c r="AK43" s="173"/>
      <c r="AL43" s="173"/>
      <c r="AM43" s="173"/>
      <c r="AN43" s="160"/>
      <c r="AO43" s="160"/>
      <c r="AP43" s="160"/>
      <c r="AQ43" s="173"/>
      <c r="AR43" s="173"/>
      <c r="AS43" s="160"/>
    </row>
    <row r="44" spans="3:45" hidden="1">
      <c r="C44" s="122" t="s">
        <v>415</v>
      </c>
      <c r="D44" s="123" t="s">
        <v>86</v>
      </c>
      <c r="E44" s="123">
        <f>VLOOKUP($E$38,$U$40:$AS$43,22,FALSE)</f>
        <v>60000</v>
      </c>
      <c r="F44" s="124">
        <f>C8</f>
        <v>60000</v>
      </c>
      <c r="G44" s="126" t="s">
        <v>81</v>
      </c>
      <c r="H44" s="118"/>
      <c r="I44" s="264" t="s">
        <v>97</v>
      </c>
      <c r="J44" s="265"/>
      <c r="K44" s="265"/>
      <c r="L44" s="265"/>
      <c r="M44" s="266"/>
      <c r="N44" s="131"/>
      <c r="O44" s="122" t="s">
        <v>416</v>
      </c>
      <c r="P44" s="123" t="s">
        <v>417</v>
      </c>
      <c r="Q44" s="123" t="s">
        <v>405</v>
      </c>
      <c r="R44" s="143">
        <f>VLOOKUP($E$38,$U$40:$AS$43,15,FALSE)</f>
        <v>12</v>
      </c>
      <c r="S44" s="144" t="s">
        <v>84</v>
      </c>
      <c r="T44" s="131"/>
      <c r="U44" s="136"/>
      <c r="V44" s="136"/>
      <c r="W44" s="136"/>
      <c r="X44" s="136"/>
      <c r="Y44" s="136"/>
      <c r="Z44" s="136"/>
      <c r="AA44" s="136"/>
      <c r="AB44" s="136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</row>
    <row r="45" spans="3:45" ht="54" hidden="1">
      <c r="C45" s="122" t="s">
        <v>418</v>
      </c>
      <c r="D45" s="123" t="s">
        <v>103</v>
      </c>
      <c r="E45" s="123">
        <v>0</v>
      </c>
      <c r="F45" s="124">
        <f>C9</f>
        <v>0</v>
      </c>
      <c r="G45" s="126" t="s">
        <v>81</v>
      </c>
      <c r="H45" s="118"/>
      <c r="I45" s="122" t="s">
        <v>105</v>
      </c>
      <c r="J45" s="123" t="s">
        <v>106</v>
      </c>
      <c r="K45" s="128" t="s">
        <v>419</v>
      </c>
      <c r="L45" s="140">
        <f>ROUNDUP(((F52+R45+R49)*L41+R43)/1000,0)</f>
        <v>152922</v>
      </c>
      <c r="M45" s="142" t="s">
        <v>81</v>
      </c>
      <c r="N45" s="131"/>
      <c r="O45" s="122" t="s">
        <v>134</v>
      </c>
      <c r="P45" s="123" t="s">
        <v>420</v>
      </c>
      <c r="Q45" s="123" t="s">
        <v>405</v>
      </c>
      <c r="R45" s="143">
        <f>VLOOKUP($E$38,$U$40:$AS$43,19,FALSE)</f>
        <v>14</v>
      </c>
      <c r="S45" s="144" t="s">
        <v>108</v>
      </c>
      <c r="T45" s="131"/>
      <c r="U45" s="136"/>
      <c r="V45" s="136"/>
      <c r="W45" s="136"/>
      <c r="X45" s="136"/>
      <c r="Y45" s="136"/>
      <c r="Z45" s="136"/>
      <c r="AA45" s="136"/>
      <c r="AB45" s="136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31"/>
      <c r="AQ45" s="131"/>
      <c r="AR45" s="131"/>
      <c r="AS45" s="131"/>
    </row>
    <row r="46" spans="3:45" ht="27" hidden="1">
      <c r="C46" s="264" t="s">
        <v>104</v>
      </c>
      <c r="D46" s="265"/>
      <c r="E46" s="265"/>
      <c r="F46" s="265"/>
      <c r="G46" s="266"/>
      <c r="H46" s="118"/>
      <c r="I46" s="122" t="s">
        <v>114</v>
      </c>
      <c r="J46" s="123" t="s">
        <v>115</v>
      </c>
      <c r="K46" s="128" t="s">
        <v>421</v>
      </c>
      <c r="L46" s="140">
        <f>ROUNDUP(F44-R47/R41+R46*L41/1000+F45+R43/1000,0)</f>
        <v>60122</v>
      </c>
      <c r="M46" s="142" t="s">
        <v>81</v>
      </c>
      <c r="N46" s="131"/>
      <c r="O46" s="122" t="s">
        <v>422</v>
      </c>
      <c r="P46" s="123" t="s">
        <v>423</v>
      </c>
      <c r="Q46" s="123" t="s">
        <v>405</v>
      </c>
      <c r="R46" s="143">
        <f>VLOOKUP($E$38,$U$40:$AS$43,16,FALSE)</f>
        <v>2</v>
      </c>
      <c r="S46" s="144" t="s">
        <v>108</v>
      </c>
      <c r="T46" s="131"/>
      <c r="U46" s="136"/>
      <c r="V46" s="136"/>
      <c r="W46" s="136"/>
      <c r="X46" s="136"/>
      <c r="Y46" s="136"/>
      <c r="Z46" s="136"/>
      <c r="AA46" s="167"/>
      <c r="AB46" s="136"/>
      <c r="AC46" s="131"/>
      <c r="AD46" s="131"/>
      <c r="AE46" s="131"/>
      <c r="AF46" s="131"/>
      <c r="AG46" s="131"/>
      <c r="AH46" s="131"/>
      <c r="AI46" s="131"/>
      <c r="AJ46" s="131"/>
      <c r="AK46" s="131"/>
      <c r="AL46" s="131"/>
      <c r="AM46" s="131"/>
      <c r="AN46" s="131"/>
      <c r="AO46" s="131"/>
      <c r="AP46" s="131"/>
      <c r="AQ46" s="131"/>
      <c r="AR46" s="131"/>
      <c r="AS46" s="131"/>
    </row>
    <row r="47" spans="3:45" ht="27" hidden="1">
      <c r="C47" s="122" t="s">
        <v>424</v>
      </c>
      <c r="D47" s="123" t="s">
        <v>425</v>
      </c>
      <c r="E47" s="123">
        <v>0</v>
      </c>
      <c r="F47" s="124">
        <v>0</v>
      </c>
      <c r="G47" s="125" t="s">
        <v>81</v>
      </c>
      <c r="H47" s="118"/>
      <c r="I47" s="122" t="s">
        <v>131</v>
      </c>
      <c r="J47" s="123" t="s">
        <v>132</v>
      </c>
      <c r="K47" s="123" t="s">
        <v>426</v>
      </c>
      <c r="L47" s="143">
        <f>ROUNDUP((1000000/F62)*F61,0)</f>
        <v>0</v>
      </c>
      <c r="M47" s="144" t="s">
        <v>81</v>
      </c>
      <c r="N47" s="131"/>
      <c r="O47" s="122" t="s">
        <v>427</v>
      </c>
      <c r="P47" s="123" t="s">
        <v>428</v>
      </c>
      <c r="Q47" s="123" t="s">
        <v>405</v>
      </c>
      <c r="R47" s="143">
        <f>VLOOKUP($E$38,$U$40:$AS$43,17,FALSE)</f>
        <v>636</v>
      </c>
      <c r="S47" s="144" t="s">
        <v>429</v>
      </c>
      <c r="T47" s="131"/>
      <c r="U47" s="136"/>
      <c r="V47" s="136"/>
      <c r="W47" s="136"/>
      <c r="X47" s="136"/>
      <c r="Y47" s="136"/>
      <c r="Z47" s="136"/>
      <c r="AA47" s="168"/>
      <c r="AB47" s="168"/>
      <c r="AC47" s="13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</row>
    <row r="48" spans="3:45" ht="27" hidden="1">
      <c r="C48" s="264" t="s">
        <v>130</v>
      </c>
      <c r="D48" s="265"/>
      <c r="E48" s="265"/>
      <c r="F48" s="265"/>
      <c r="G48" s="266"/>
      <c r="H48" s="118"/>
      <c r="I48" s="122" t="s">
        <v>142</v>
      </c>
      <c r="J48" s="128" t="s">
        <v>143</v>
      </c>
      <c r="K48" s="128" t="s">
        <v>430</v>
      </c>
      <c r="L48" s="143">
        <f>R79</f>
        <v>244800</v>
      </c>
      <c r="M48" s="144" t="s">
        <v>81</v>
      </c>
      <c r="N48" s="131"/>
      <c r="O48" s="122" t="s">
        <v>431</v>
      </c>
      <c r="P48" s="123" t="s">
        <v>432</v>
      </c>
      <c r="Q48" s="123" t="s">
        <v>405</v>
      </c>
      <c r="R48" s="143">
        <f>VLOOKUP($E$38,$U$40:$AS$43,18,FALSE)</f>
        <v>6</v>
      </c>
      <c r="S48" s="144" t="s">
        <v>108</v>
      </c>
      <c r="T48" s="131"/>
      <c r="U48" s="136"/>
      <c r="V48" s="136"/>
      <c r="W48" s="136"/>
      <c r="X48" s="136"/>
      <c r="Y48" s="136"/>
      <c r="Z48" s="136"/>
      <c r="AA48" s="168"/>
      <c r="AB48" s="168"/>
      <c r="AC48" s="131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131"/>
    </row>
    <row r="49" spans="3:45" hidden="1">
      <c r="C49" s="122" t="s">
        <v>141</v>
      </c>
      <c r="D49" s="123" t="s">
        <v>140</v>
      </c>
      <c r="E49" s="123">
        <v>0</v>
      </c>
      <c r="F49" s="124">
        <v>0</v>
      </c>
      <c r="G49" s="125" t="s">
        <v>100</v>
      </c>
      <c r="H49" s="118"/>
      <c r="I49" s="264" t="s">
        <v>433</v>
      </c>
      <c r="J49" s="265"/>
      <c r="K49" s="265"/>
      <c r="L49" s="265"/>
      <c r="M49" s="266"/>
      <c r="N49" s="131"/>
      <c r="O49" s="122" t="s">
        <v>434</v>
      </c>
      <c r="P49" s="123" t="s">
        <v>435</v>
      </c>
      <c r="Q49" s="123" t="s">
        <v>405</v>
      </c>
      <c r="R49" s="143">
        <v>2</v>
      </c>
      <c r="S49" s="144" t="s">
        <v>108</v>
      </c>
      <c r="T49" s="131"/>
      <c r="U49" s="136"/>
      <c r="V49" s="136"/>
      <c r="W49" s="136"/>
      <c r="X49" s="136"/>
      <c r="Y49" s="136"/>
      <c r="Z49" s="136"/>
      <c r="AA49" s="168"/>
      <c r="AB49" s="168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</row>
    <row r="50" spans="3:45" ht="40.5" hidden="1">
      <c r="C50" s="127" t="s">
        <v>152</v>
      </c>
      <c r="D50" s="128" t="s">
        <v>151</v>
      </c>
      <c r="E50" s="128">
        <v>0</v>
      </c>
      <c r="F50" s="129">
        <v>0</v>
      </c>
      <c r="G50" s="126" t="s">
        <v>100</v>
      </c>
      <c r="H50" s="118"/>
      <c r="I50" s="127" t="s">
        <v>415</v>
      </c>
      <c r="J50" s="128" t="s">
        <v>436</v>
      </c>
      <c r="K50" s="128" t="s">
        <v>437</v>
      </c>
      <c r="L50" s="140">
        <f>ROUNDUP((1000*F44-1000*R47/R41)/1000,0)</f>
        <v>59988</v>
      </c>
      <c r="M50" s="142" t="s">
        <v>81</v>
      </c>
      <c r="N50" s="131"/>
      <c r="O50" s="264" t="s">
        <v>438</v>
      </c>
      <c r="P50" s="265"/>
      <c r="Q50" s="265"/>
      <c r="R50" s="265"/>
      <c r="S50" s="266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</row>
    <row r="51" spans="3:45" ht="27" hidden="1">
      <c r="C51" s="127" t="s">
        <v>158</v>
      </c>
      <c r="D51" s="128" t="s">
        <v>28</v>
      </c>
      <c r="E51" s="128">
        <f>VLOOKUP($E$38,$U$40:$AS$43,23,FALSE)</f>
        <v>5120</v>
      </c>
      <c r="F51" s="129">
        <f>C4</f>
        <v>5120</v>
      </c>
      <c r="G51" s="126" t="s">
        <v>100</v>
      </c>
      <c r="H51" s="118"/>
      <c r="I51" s="127" t="s">
        <v>439</v>
      </c>
      <c r="J51" s="128" t="s">
        <v>440</v>
      </c>
      <c r="K51" s="128" t="s">
        <v>102</v>
      </c>
      <c r="L51" s="140">
        <f>F45</f>
        <v>0</v>
      </c>
      <c r="M51" s="145" t="s">
        <v>108</v>
      </c>
      <c r="N51" s="131"/>
      <c r="O51" s="119" t="s">
        <v>48</v>
      </c>
      <c r="P51" s="120" t="s">
        <v>49</v>
      </c>
      <c r="Q51" s="120" t="s">
        <v>50</v>
      </c>
      <c r="R51" s="120" t="s">
        <v>61</v>
      </c>
      <c r="S51" s="157" t="s">
        <v>52</v>
      </c>
      <c r="T51" s="136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</row>
    <row r="52" spans="3:45" ht="94.5" hidden="1">
      <c r="C52" s="127" t="s">
        <v>166</v>
      </c>
      <c r="D52" s="128" t="s">
        <v>29</v>
      </c>
      <c r="E52" s="128">
        <f>VLOOKUP($E$38,$U$40:$AS$43,24,FALSE)</f>
        <v>5120</v>
      </c>
      <c r="F52" s="129">
        <f>C5</f>
        <v>5120</v>
      </c>
      <c r="G52" s="126" t="s">
        <v>100</v>
      </c>
      <c r="H52" s="118"/>
      <c r="I52" s="127" t="s">
        <v>441</v>
      </c>
      <c r="J52" s="128" t="s">
        <v>442</v>
      </c>
      <c r="K52" s="128" t="s">
        <v>443</v>
      </c>
      <c r="L52" s="140">
        <f>IF((MAX(L45,L46,L47,L48)-L50)&lt;L45,(IF((MAX(L45,L46,L47,L48)-L50)&gt;=(L45-ROUNDUP(6*L41/1000,0)),1,0)),0)</f>
        <v>0</v>
      </c>
      <c r="M52" s="145" t="s">
        <v>84</v>
      </c>
      <c r="N52" s="131"/>
      <c r="O52" s="122" t="s">
        <v>221</v>
      </c>
      <c r="P52" s="123" t="s">
        <v>222</v>
      </c>
      <c r="Q52" s="123" t="s">
        <v>223</v>
      </c>
      <c r="R52" s="143">
        <v>7</v>
      </c>
      <c r="S52" s="144" t="s">
        <v>181</v>
      </c>
      <c r="T52" s="136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</row>
    <row r="53" spans="3:45" ht="40.5" hidden="1">
      <c r="C53" s="264" t="s">
        <v>170</v>
      </c>
      <c r="D53" s="265"/>
      <c r="E53" s="265"/>
      <c r="F53" s="265"/>
      <c r="G53" s="266"/>
      <c r="H53" s="118"/>
      <c r="I53" s="127" t="s">
        <v>444</v>
      </c>
      <c r="J53" s="128" t="s">
        <v>445</v>
      </c>
      <c r="K53" s="128" t="s">
        <v>446</v>
      </c>
      <c r="L53" s="140">
        <f>IF(L52=1,L45-(MAX(L45,L46,L47,L48)-L50),0)</f>
        <v>0</v>
      </c>
      <c r="M53" s="145" t="s">
        <v>81</v>
      </c>
      <c r="N53" s="131"/>
      <c r="O53" s="122" t="s">
        <v>225</v>
      </c>
      <c r="P53" s="123" t="s">
        <v>226</v>
      </c>
      <c r="Q53" s="123" t="s">
        <v>227</v>
      </c>
      <c r="R53" s="143">
        <v>1</v>
      </c>
      <c r="S53" s="144" t="s">
        <v>181</v>
      </c>
      <c r="T53" s="136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31"/>
      <c r="AS53" s="131"/>
    </row>
    <row r="54" spans="3:45" ht="27" hidden="1">
      <c r="C54" s="127" t="s">
        <v>447</v>
      </c>
      <c r="D54" s="128" t="s">
        <v>190</v>
      </c>
      <c r="E54" s="130">
        <v>0</v>
      </c>
      <c r="F54" s="129">
        <v>0</v>
      </c>
      <c r="G54" s="126" t="s">
        <v>84</v>
      </c>
      <c r="H54" s="118"/>
      <c r="I54" s="264" t="s">
        <v>346</v>
      </c>
      <c r="J54" s="265"/>
      <c r="K54" s="265"/>
      <c r="L54" s="265"/>
      <c r="M54" s="266"/>
      <c r="N54" s="131"/>
      <c r="O54" s="122" t="s">
        <v>228</v>
      </c>
      <c r="P54" s="123" t="s">
        <v>229</v>
      </c>
      <c r="Q54" s="123" t="s">
        <v>230</v>
      </c>
      <c r="R54" s="143">
        <v>14</v>
      </c>
      <c r="S54" s="144" t="s">
        <v>181</v>
      </c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  <c r="AQ54" s="131"/>
      <c r="AR54" s="131"/>
      <c r="AS54" s="131"/>
    </row>
    <row r="55" spans="3:45" ht="40.5" hidden="1">
      <c r="C55" s="264" t="s">
        <v>448</v>
      </c>
      <c r="D55" s="265"/>
      <c r="E55" s="265"/>
      <c r="F55" s="265"/>
      <c r="G55" s="266"/>
      <c r="H55" s="118"/>
      <c r="I55" s="127" t="s">
        <v>449</v>
      </c>
      <c r="J55" s="128" t="s">
        <v>450</v>
      </c>
      <c r="K55" s="128" t="s">
        <v>451</v>
      </c>
      <c r="L55" s="140">
        <f>L43*R68</f>
        <v>107084967.32026143</v>
      </c>
      <c r="M55" s="146" t="s">
        <v>194</v>
      </c>
      <c r="N55" s="131"/>
      <c r="O55" s="122" t="s">
        <v>233</v>
      </c>
      <c r="P55" s="123" t="s">
        <v>234</v>
      </c>
      <c r="Q55" s="123" t="s">
        <v>235</v>
      </c>
      <c r="R55" s="143">
        <v>20</v>
      </c>
      <c r="S55" s="144" t="s">
        <v>181</v>
      </c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</row>
    <row r="56" spans="3:45" ht="27" hidden="1">
      <c r="C56" s="127" t="s">
        <v>328</v>
      </c>
      <c r="D56" s="128" t="s">
        <v>452</v>
      </c>
      <c r="E56" s="130" t="s">
        <v>84</v>
      </c>
      <c r="F56" s="129">
        <f>C16</f>
        <v>1000</v>
      </c>
      <c r="G56" s="126" t="s">
        <v>453</v>
      </c>
      <c r="H56" s="131"/>
      <c r="I56" s="147" t="s">
        <v>454</v>
      </c>
      <c r="J56" s="148" t="s">
        <v>455</v>
      </c>
      <c r="K56" s="128" t="s">
        <v>456</v>
      </c>
      <c r="L56" s="140">
        <f>L43*R75</f>
        <v>111620236.92810456</v>
      </c>
      <c r="M56" s="146" t="s">
        <v>194</v>
      </c>
      <c r="N56" s="131"/>
      <c r="O56" s="122" t="s">
        <v>236</v>
      </c>
      <c r="P56" s="123" t="s">
        <v>237</v>
      </c>
      <c r="Q56" s="123" t="s">
        <v>238</v>
      </c>
      <c r="R56" s="143">
        <v>8</v>
      </c>
      <c r="S56" s="144" t="s">
        <v>181</v>
      </c>
      <c r="T56" s="131"/>
      <c r="U56" s="261" t="s">
        <v>111</v>
      </c>
      <c r="V56" s="262"/>
      <c r="W56" s="262"/>
      <c r="X56" s="262"/>
      <c r="Y56" s="263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</row>
    <row r="57" spans="3:45" ht="81" hidden="1">
      <c r="C57" s="127" t="s">
        <v>457</v>
      </c>
      <c r="D57" s="128" t="s">
        <v>32</v>
      </c>
      <c r="E57" s="130">
        <v>1500</v>
      </c>
      <c r="F57" s="129">
        <f>C11</f>
        <v>1500</v>
      </c>
      <c r="G57" s="126" t="s">
        <v>181</v>
      </c>
      <c r="H57" s="131"/>
      <c r="I57" s="147" t="s">
        <v>458</v>
      </c>
      <c r="J57" s="148" t="s">
        <v>459</v>
      </c>
      <c r="K57" s="128" t="s">
        <v>460</v>
      </c>
      <c r="L57" s="140">
        <f>1250*F56*(100-F59)</f>
        <v>112500000</v>
      </c>
      <c r="M57" s="146" t="s">
        <v>194</v>
      </c>
      <c r="N57" s="131"/>
      <c r="O57" s="122" t="s">
        <v>241</v>
      </c>
      <c r="P57" s="123" t="s">
        <v>242</v>
      </c>
      <c r="Q57" s="123" t="s">
        <v>238</v>
      </c>
      <c r="R57" s="143">
        <v>8</v>
      </c>
      <c r="S57" s="144" t="s">
        <v>181</v>
      </c>
      <c r="T57" s="131"/>
      <c r="U57" s="119" t="s">
        <v>461</v>
      </c>
      <c r="V57" s="120" t="s">
        <v>462</v>
      </c>
      <c r="W57" s="120" t="s">
        <v>49</v>
      </c>
      <c r="X57" s="120" t="s">
        <v>50</v>
      </c>
      <c r="Y57" s="121" t="s">
        <v>57</v>
      </c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31"/>
      <c r="AQ57" s="131"/>
      <c r="AR57" s="131"/>
      <c r="AS57" s="131"/>
    </row>
    <row r="58" spans="3:45" ht="54" hidden="1">
      <c r="C58" s="127" t="str">
        <f>"流通道包间隔(不包括12B最小值的部分) 
范围:0-"&amp;L59</f>
        <v>流通道包间隔(不包括12B最小值的部分) 
范围:0-61279</v>
      </c>
      <c r="D58" s="128" t="s">
        <v>33</v>
      </c>
      <c r="E58" s="130">
        <v>0</v>
      </c>
      <c r="F58" s="129">
        <f>C12</f>
        <v>0</v>
      </c>
      <c r="G58" s="126" t="s">
        <v>181</v>
      </c>
      <c r="H58" s="131"/>
      <c r="I58" s="264" t="s">
        <v>463</v>
      </c>
      <c r="J58" s="265"/>
      <c r="K58" s="265"/>
      <c r="L58" s="265"/>
      <c r="M58" s="266"/>
      <c r="N58" s="131"/>
      <c r="O58" s="122" t="s">
        <v>244</v>
      </c>
      <c r="P58" s="123" t="s">
        <v>245</v>
      </c>
      <c r="Q58" s="123" t="s">
        <v>246</v>
      </c>
      <c r="R58" s="143">
        <v>4</v>
      </c>
      <c r="S58" s="144" t="s">
        <v>181</v>
      </c>
      <c r="T58" s="131"/>
      <c r="U58" s="161" t="s">
        <v>464</v>
      </c>
      <c r="V58" s="128" t="s">
        <v>465</v>
      </c>
      <c r="W58" s="162" t="s">
        <v>466</v>
      </c>
      <c r="X58" s="123" t="s">
        <v>418</v>
      </c>
      <c r="Y58" s="146" t="str">
        <f>DEC2HEX(L51)</f>
        <v>0</v>
      </c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31"/>
      <c r="AS58" s="131"/>
    </row>
    <row r="59" spans="3:45" ht="175.5" hidden="1">
      <c r="C59" s="127" t="str">
        <f>"预留带宽 
范围:0-"&amp;L61</f>
        <v>预留带宽 
范围:0-97</v>
      </c>
      <c r="D59" s="128" t="s">
        <v>38</v>
      </c>
      <c r="E59" s="130">
        <v>10</v>
      </c>
      <c r="F59" s="129">
        <f>C17</f>
        <v>10</v>
      </c>
      <c r="G59" s="126" t="s">
        <v>467</v>
      </c>
      <c r="H59" s="131"/>
      <c r="I59" s="147" t="s">
        <v>468</v>
      </c>
      <c r="J59" s="149" t="s">
        <v>469</v>
      </c>
      <c r="K59" s="128" t="s">
        <v>470</v>
      </c>
      <c r="L59" s="140">
        <f>IF((ROUNDDOWN((R78-(R73+R74+R75))/(R69+R71+2),0)-12)&lt;IF(F56=100,18000,180000),ROUNDDOWN((R78-(R73+R74+R75))/(R69+R71+2),0)-12,IF(F56=100,18000,180000))</f>
        <v>61279</v>
      </c>
      <c r="M59" s="146" t="s">
        <v>181</v>
      </c>
      <c r="N59" s="131"/>
      <c r="O59" s="122" t="s">
        <v>249</v>
      </c>
      <c r="P59" s="123" t="s">
        <v>250</v>
      </c>
      <c r="Q59" s="123" t="s">
        <v>251</v>
      </c>
      <c r="R59" s="143">
        <v>12</v>
      </c>
      <c r="S59" s="144" t="s">
        <v>181</v>
      </c>
      <c r="T59" s="131"/>
      <c r="U59" s="163" t="s">
        <v>471</v>
      </c>
      <c r="V59" s="128" t="s">
        <v>472</v>
      </c>
      <c r="W59" s="162" t="s">
        <v>473</v>
      </c>
      <c r="X59" s="123" t="s">
        <v>415</v>
      </c>
      <c r="Y59" s="169" t="str">
        <f>DEC2HEX(L50)</f>
        <v>EA54</v>
      </c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</row>
    <row r="60" spans="3:45" ht="54" hidden="1">
      <c r="C60" s="264" t="s">
        <v>243</v>
      </c>
      <c r="D60" s="265"/>
      <c r="E60" s="265"/>
      <c r="F60" s="265"/>
      <c r="G60" s="266"/>
      <c r="H60" s="131"/>
      <c r="I60" s="264" t="s">
        <v>474</v>
      </c>
      <c r="J60" s="265"/>
      <c r="K60" s="265"/>
      <c r="L60" s="265"/>
      <c r="M60" s="266"/>
      <c r="N60" s="131"/>
      <c r="O60" s="122" t="s">
        <v>254</v>
      </c>
      <c r="P60" s="128" t="s">
        <v>255</v>
      </c>
      <c r="Q60" s="123" t="s">
        <v>256</v>
      </c>
      <c r="R60" s="143">
        <f>R55+R56+R57</f>
        <v>36</v>
      </c>
      <c r="S60" s="144" t="s">
        <v>181</v>
      </c>
      <c r="T60" s="131"/>
      <c r="U60" s="163" t="s">
        <v>475</v>
      </c>
      <c r="V60" s="128" t="s">
        <v>476</v>
      </c>
      <c r="W60" s="162" t="s">
        <v>477</v>
      </c>
      <c r="X60" s="123" t="s">
        <v>408</v>
      </c>
      <c r="Y60" s="169" t="str">
        <f>DEC2HEX(MAX(L45,L46,L47,L48))</f>
        <v>3BC40</v>
      </c>
      <c r="Z60" s="131"/>
      <c r="AA60" s="131"/>
      <c r="AB60" s="131"/>
      <c r="AC60" s="131"/>
      <c r="AD60" s="131"/>
      <c r="AE60" s="131"/>
      <c r="AF60" s="131"/>
      <c r="AG60" s="131"/>
      <c r="AH60" s="131"/>
      <c r="AI60" s="131"/>
      <c r="AJ60" s="131"/>
      <c r="AK60" s="131"/>
      <c r="AL60" s="131"/>
      <c r="AM60" s="131"/>
      <c r="AN60" s="131"/>
      <c r="AO60" s="131"/>
      <c r="AP60" s="131"/>
      <c r="AQ60" s="131"/>
      <c r="AR60" s="131"/>
      <c r="AS60" s="131"/>
    </row>
    <row r="61" spans="3:45" ht="94.5" hidden="1">
      <c r="C61" s="122" t="s">
        <v>478</v>
      </c>
      <c r="D61" s="123" t="s">
        <v>247</v>
      </c>
      <c r="E61" s="123">
        <v>0</v>
      </c>
      <c r="F61" s="124">
        <f>C15</f>
        <v>0</v>
      </c>
      <c r="G61" s="125" t="s">
        <v>84</v>
      </c>
      <c r="H61" s="131"/>
      <c r="I61" s="150" t="s">
        <v>479</v>
      </c>
      <c r="J61" s="151" t="s">
        <v>474</v>
      </c>
      <c r="K61" s="152" t="s">
        <v>480</v>
      </c>
      <c r="L61" s="153">
        <f>IF((100-ROUNDDOWN(10*R77/(125000*F56),0)-1)&lt;0,0,(100-ROUNDDOWN(10*R77/(125000*F56),0)-1))</f>
        <v>97</v>
      </c>
      <c r="M61" s="154" t="s">
        <v>467</v>
      </c>
      <c r="N61" s="131"/>
      <c r="O61" s="122" t="s">
        <v>257</v>
      </c>
      <c r="P61" s="128" t="s">
        <v>258</v>
      </c>
      <c r="Q61" s="123" t="s">
        <v>259</v>
      </c>
      <c r="R61" s="143">
        <f>R52+R53+R54+R58</f>
        <v>26</v>
      </c>
      <c r="S61" s="144" t="s">
        <v>181</v>
      </c>
      <c r="T61" s="131"/>
      <c r="U61" s="163" t="s">
        <v>481</v>
      </c>
      <c r="V61" s="128" t="s">
        <v>482</v>
      </c>
      <c r="W61" s="162" t="s">
        <v>483</v>
      </c>
      <c r="X61" s="123" t="s">
        <v>408</v>
      </c>
      <c r="Y61" s="169" t="str">
        <f>DEC2HEX(MAX(L45,L46,L47))</f>
        <v>2555A</v>
      </c>
      <c r="Z61" s="131"/>
      <c r="AA61" s="131"/>
      <c r="AB61" s="131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  <c r="AN61" s="131"/>
      <c r="AO61" s="131"/>
      <c r="AP61" s="131"/>
      <c r="AQ61" s="131"/>
      <c r="AR61" s="131"/>
      <c r="AS61" s="131"/>
    </row>
    <row r="62" spans="3:45" ht="54" hidden="1">
      <c r="C62" s="132" t="s">
        <v>243</v>
      </c>
      <c r="D62" s="133" t="s">
        <v>252</v>
      </c>
      <c r="E62" s="133">
        <f>VLOOKUP($E$38,$U$40:$AS$43,25,FALSE)</f>
        <v>4</v>
      </c>
      <c r="F62" s="134">
        <f>C14</f>
        <v>4.5</v>
      </c>
      <c r="G62" s="135" t="s">
        <v>89</v>
      </c>
      <c r="H62" s="131"/>
      <c r="I62" s="131"/>
      <c r="J62" s="131"/>
      <c r="K62" s="131"/>
      <c r="L62" s="131"/>
      <c r="M62" s="131"/>
      <c r="N62" s="131"/>
      <c r="O62" s="122" t="s">
        <v>260</v>
      </c>
      <c r="P62" s="123" t="s">
        <v>261</v>
      </c>
      <c r="Q62" s="123" t="s">
        <v>262</v>
      </c>
      <c r="R62" s="143">
        <f>64-R54-R58-R60</f>
        <v>10</v>
      </c>
      <c r="S62" s="144" t="s">
        <v>181</v>
      </c>
      <c r="T62" s="131"/>
      <c r="U62" s="163" t="s">
        <v>484</v>
      </c>
      <c r="V62" s="128" t="s">
        <v>485</v>
      </c>
      <c r="W62" s="162" t="s">
        <v>486</v>
      </c>
      <c r="X62" s="123" t="s">
        <v>105</v>
      </c>
      <c r="Y62" s="169" t="str">
        <f>DEC2HEX(L45)</f>
        <v>2555A</v>
      </c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</row>
    <row r="63" spans="3:45" ht="40.5" hidden="1">
      <c r="C63" s="264" t="s">
        <v>487</v>
      </c>
      <c r="D63" s="265"/>
      <c r="E63" s="265"/>
      <c r="F63" s="265"/>
      <c r="G63" s="266"/>
      <c r="H63" s="131"/>
      <c r="I63" s="131"/>
      <c r="J63" s="131"/>
      <c r="K63" s="131"/>
      <c r="L63" s="131"/>
      <c r="M63" s="131"/>
      <c r="N63" s="131"/>
      <c r="O63" s="264" t="s">
        <v>263</v>
      </c>
      <c r="P63" s="265"/>
      <c r="Q63" s="265"/>
      <c r="R63" s="265"/>
      <c r="S63" s="266"/>
      <c r="T63" s="131"/>
      <c r="U63" s="161" t="s">
        <v>488</v>
      </c>
      <c r="V63" s="128" t="s">
        <v>489</v>
      </c>
      <c r="W63" s="162" t="s">
        <v>490</v>
      </c>
      <c r="X63" s="123" t="s">
        <v>491</v>
      </c>
      <c r="Y63" s="146" t="str">
        <f>DEC2HEX(ROUNDUP(F52+R48+4,0))</f>
        <v>140A</v>
      </c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M63" s="131"/>
      <c r="AN63" s="131"/>
      <c r="AO63" s="131"/>
      <c r="AP63" s="131"/>
      <c r="AQ63" s="131"/>
      <c r="AR63" s="131"/>
      <c r="AS63" s="131"/>
    </row>
    <row r="64" spans="3:45" ht="27" hidden="1">
      <c r="C64" s="122" t="s">
        <v>492</v>
      </c>
      <c r="D64" s="123" t="s">
        <v>493</v>
      </c>
      <c r="E64" s="123">
        <v>1</v>
      </c>
      <c r="F64" s="124">
        <v>1</v>
      </c>
      <c r="G64" s="125" t="s">
        <v>84</v>
      </c>
      <c r="H64" s="131"/>
      <c r="I64" s="131"/>
      <c r="J64" s="131"/>
      <c r="K64" s="131"/>
      <c r="L64" s="131"/>
      <c r="M64" s="131"/>
      <c r="N64" s="131"/>
      <c r="O64" s="119" t="s">
        <v>48</v>
      </c>
      <c r="P64" s="120" t="s">
        <v>49</v>
      </c>
      <c r="Q64" s="120" t="s">
        <v>50</v>
      </c>
      <c r="R64" s="120" t="s">
        <v>61</v>
      </c>
      <c r="S64" s="157" t="s">
        <v>52</v>
      </c>
      <c r="T64" s="131"/>
      <c r="U64" s="164" t="s">
        <v>156</v>
      </c>
      <c r="V64" s="128" t="s">
        <v>494</v>
      </c>
      <c r="W64" s="128" t="s">
        <v>495</v>
      </c>
      <c r="X64" s="128" t="s">
        <v>84</v>
      </c>
      <c r="Y64" s="169" t="s">
        <v>496</v>
      </c>
      <c r="Z64" s="131"/>
      <c r="AA64" s="131"/>
      <c r="AB64" s="131"/>
      <c r="AC64" s="131"/>
      <c r="AD64" s="131"/>
      <c r="AE64" s="131"/>
      <c r="AF64" s="131"/>
      <c r="AG64" s="131"/>
      <c r="AH64" s="131"/>
      <c r="AI64" s="131"/>
      <c r="AJ64" s="131"/>
      <c r="AK64" s="131"/>
      <c r="AL64" s="131"/>
      <c r="AM64" s="131"/>
      <c r="AN64" s="131"/>
      <c r="AO64" s="131"/>
      <c r="AP64" s="131"/>
      <c r="AQ64" s="131"/>
      <c r="AR64" s="131"/>
      <c r="AS64" s="131"/>
    </row>
    <row r="65" spans="3:45" ht="67.5" hidden="1">
      <c r="C65" s="176" t="s">
        <v>497</v>
      </c>
      <c r="D65" s="177" t="s">
        <v>498</v>
      </c>
      <c r="E65" s="177">
        <v>1</v>
      </c>
      <c r="F65" s="124">
        <v>4</v>
      </c>
      <c r="G65" s="178" t="s">
        <v>84</v>
      </c>
      <c r="H65" s="131"/>
      <c r="I65" s="131"/>
      <c r="J65" s="131"/>
      <c r="K65" s="131"/>
      <c r="L65" s="131"/>
      <c r="M65" s="131"/>
      <c r="N65" s="131"/>
      <c r="O65" s="122" t="s">
        <v>499</v>
      </c>
      <c r="P65" s="128" t="s">
        <v>500</v>
      </c>
      <c r="Q65" s="123" t="s">
        <v>265</v>
      </c>
      <c r="R65" s="143">
        <f>36</f>
        <v>36</v>
      </c>
      <c r="S65" s="144" t="s">
        <v>181</v>
      </c>
      <c r="T65" s="131"/>
      <c r="U65" s="181" t="s">
        <v>501</v>
      </c>
      <c r="V65" s="182" t="s">
        <v>502</v>
      </c>
      <c r="W65" s="182" t="s">
        <v>503</v>
      </c>
      <c r="X65" s="177" t="s">
        <v>504</v>
      </c>
      <c r="Y65" s="154" t="e">
        <f>DEC2HEX(ROUNDUP(L41*R41/1000,0)-F51/VLOOKUP($C$4,$S$8:$AQ$18,5,FALSE)/VLOOKUP($C$4,$S$8:$AQ$18,6,FALSE))</f>
        <v>#N/A</v>
      </c>
      <c r="Z65" s="131"/>
      <c r="AA65" s="131"/>
      <c r="AB65" s="131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</row>
    <row r="66" spans="3:45" ht="40.5" hidden="1">
      <c r="C66" s="255" t="s">
        <v>357</v>
      </c>
      <c r="D66" s="256"/>
      <c r="E66" s="256"/>
      <c r="F66" s="256"/>
      <c r="G66" s="257"/>
      <c r="H66" s="131"/>
      <c r="I66" s="131"/>
      <c r="J66" s="131"/>
      <c r="K66" s="131"/>
      <c r="L66" s="131"/>
      <c r="M66" s="131"/>
      <c r="N66" s="131"/>
      <c r="O66" s="122" t="s">
        <v>505</v>
      </c>
      <c r="P66" s="128" t="s">
        <v>506</v>
      </c>
      <c r="Q66" s="123" t="s">
        <v>267</v>
      </c>
      <c r="R66" s="143">
        <v>10</v>
      </c>
      <c r="S66" s="144" t="s">
        <v>181</v>
      </c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1"/>
      <c r="AL66" s="131"/>
      <c r="AM66" s="131"/>
      <c r="AN66" s="131"/>
      <c r="AO66" s="131"/>
      <c r="AP66" s="131"/>
      <c r="AQ66" s="131"/>
      <c r="AR66" s="131"/>
      <c r="AS66" s="131"/>
    </row>
    <row r="67" spans="3:45" ht="27" hidden="1">
      <c r="C67" s="179" t="s">
        <v>60</v>
      </c>
      <c r="D67" s="258" t="s">
        <v>507</v>
      </c>
      <c r="E67" s="258"/>
      <c r="F67" s="259">
        <f>L43</f>
        <v>4.0849673202614376</v>
      </c>
      <c r="G67" s="260"/>
      <c r="H67" s="131"/>
      <c r="I67" s="131"/>
      <c r="J67" s="131"/>
      <c r="K67" s="131"/>
      <c r="L67" s="131"/>
      <c r="M67" s="131"/>
      <c r="N67" s="131"/>
      <c r="O67" s="127" t="s">
        <v>195</v>
      </c>
      <c r="P67" s="128" t="s">
        <v>508</v>
      </c>
      <c r="Q67" s="128" t="s">
        <v>509</v>
      </c>
      <c r="R67" s="140">
        <f>C4*C5*IF(F42=8,1,2)</f>
        <v>26214400</v>
      </c>
      <c r="S67" s="144" t="s">
        <v>181</v>
      </c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</row>
    <row r="68" spans="3:45" ht="27" hidden="1"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22" t="s">
        <v>269</v>
      </c>
      <c r="P68" s="128" t="s">
        <v>510</v>
      </c>
      <c r="Q68" s="128" t="s">
        <v>511</v>
      </c>
      <c r="R68" s="143">
        <f>R67+32*F54</f>
        <v>26214400</v>
      </c>
      <c r="S68" s="144" t="s">
        <v>181</v>
      </c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</row>
    <row r="69" spans="3:45" ht="40.5" hidden="1"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22" t="s">
        <v>272</v>
      </c>
      <c r="P69" s="128" t="s">
        <v>273</v>
      </c>
      <c r="Q69" s="123" t="s">
        <v>274</v>
      </c>
      <c r="R69" s="183">
        <f>INT(R68/(F57-R60))</f>
        <v>17906</v>
      </c>
      <c r="S69" s="144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</row>
    <row r="70" spans="3:45" ht="54" hidden="1"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22" t="s">
        <v>275</v>
      </c>
      <c r="P70" s="128" t="s">
        <v>512</v>
      </c>
      <c r="Q70" s="123" t="s">
        <v>277</v>
      </c>
      <c r="R70" s="183">
        <f>R68-(F57-R60)*R69</f>
        <v>16</v>
      </c>
      <c r="S70" s="144" t="s">
        <v>181</v>
      </c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131"/>
    </row>
    <row r="71" spans="3:45" ht="27" hidden="1"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22" t="s">
        <v>278</v>
      </c>
      <c r="P71" s="128" t="s">
        <v>279</v>
      </c>
      <c r="Q71" s="123" t="s">
        <v>513</v>
      </c>
      <c r="R71" s="143">
        <f>IF(MOD(R67,(F57-R60))=0,0,1)</f>
        <v>1</v>
      </c>
      <c r="S71" s="144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  <c r="AQ71" s="131"/>
      <c r="AR71" s="131"/>
      <c r="AS71" s="131"/>
    </row>
    <row r="72" spans="3:45" ht="54" hidden="1"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22" t="s">
        <v>281</v>
      </c>
      <c r="P72" s="128" t="s">
        <v>514</v>
      </c>
      <c r="Q72" s="123" t="s">
        <v>283</v>
      </c>
      <c r="R72" s="183">
        <f>IF(R70&lt;R62,R62,R70)</f>
        <v>16</v>
      </c>
      <c r="S72" s="144" t="s">
        <v>181</v>
      </c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1"/>
      <c r="AL72" s="131"/>
      <c r="AM72" s="131"/>
      <c r="AN72" s="131"/>
      <c r="AO72" s="131"/>
      <c r="AP72" s="131"/>
      <c r="AQ72" s="131"/>
      <c r="AR72" s="131"/>
      <c r="AS72" s="131"/>
    </row>
    <row r="73" spans="3:45" ht="27" hidden="1"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22" t="s">
        <v>284</v>
      </c>
      <c r="P73" s="128" t="s">
        <v>515</v>
      </c>
      <c r="Q73" s="123" t="s">
        <v>286</v>
      </c>
      <c r="R73" s="183">
        <f>R61+R60+R65</f>
        <v>98</v>
      </c>
      <c r="S73" s="144" t="s">
        <v>181</v>
      </c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1"/>
      <c r="AL73" s="131"/>
      <c r="AM73" s="131"/>
      <c r="AN73" s="131"/>
      <c r="AO73" s="131"/>
      <c r="AP73" s="131"/>
      <c r="AQ73" s="131"/>
      <c r="AR73" s="131"/>
      <c r="AS73" s="131"/>
    </row>
    <row r="74" spans="3:45" ht="27" hidden="1"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22" t="s">
        <v>287</v>
      </c>
      <c r="P74" s="128" t="s">
        <v>516</v>
      </c>
      <c r="Q74" s="123" t="s">
        <v>517</v>
      </c>
      <c r="R74" s="183">
        <f>R61+R60+R66</f>
        <v>72</v>
      </c>
      <c r="S74" s="144" t="s">
        <v>181</v>
      </c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</row>
    <row r="75" spans="3:45" ht="81" hidden="1">
      <c r="C75" s="131"/>
      <c r="D75" s="131"/>
      <c r="E75" s="131"/>
      <c r="F75" s="131"/>
      <c r="G75" s="131"/>
      <c r="H75" s="131"/>
      <c r="I75" s="131"/>
      <c r="J75" s="131"/>
      <c r="K75" s="118"/>
      <c r="L75" s="131"/>
      <c r="M75" s="131"/>
      <c r="N75" s="131"/>
      <c r="O75" s="122" t="s">
        <v>289</v>
      </c>
      <c r="P75" s="128" t="s">
        <v>518</v>
      </c>
      <c r="Q75" s="123" t="s">
        <v>519</v>
      </c>
      <c r="R75" s="183">
        <f>R69*(F57+R61)+R71*(R72+R61+R60)</f>
        <v>27324634</v>
      </c>
      <c r="S75" s="144" t="s">
        <v>181</v>
      </c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31"/>
      <c r="AM75" s="131"/>
      <c r="AN75" s="131"/>
      <c r="AO75" s="131"/>
      <c r="AP75" s="131"/>
      <c r="AQ75" s="131"/>
      <c r="AR75" s="131"/>
      <c r="AS75" s="131"/>
    </row>
    <row r="76" spans="3:45" ht="54" hidden="1"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27" t="s">
        <v>292</v>
      </c>
      <c r="P76" s="128" t="s">
        <v>520</v>
      </c>
      <c r="Q76" s="128" t="s">
        <v>521</v>
      </c>
      <c r="R76" s="184">
        <f>(2+R71+R69)*(R59+F58)</f>
        <v>214908</v>
      </c>
      <c r="S76" s="146" t="s">
        <v>181</v>
      </c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1"/>
      <c r="AL76" s="131"/>
      <c r="AM76" s="131"/>
      <c r="AN76" s="131"/>
      <c r="AO76" s="131"/>
      <c r="AP76" s="131"/>
      <c r="AQ76" s="131"/>
      <c r="AR76" s="131"/>
      <c r="AS76" s="131"/>
    </row>
    <row r="77" spans="3:45" ht="40.5" hidden="1"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27" t="s">
        <v>202</v>
      </c>
      <c r="P77" s="128" t="s">
        <v>522</v>
      </c>
      <c r="Q77" s="128" t="s">
        <v>296</v>
      </c>
      <c r="R77" s="140">
        <f>R73+R74+R75+R76</f>
        <v>27539712</v>
      </c>
      <c r="S77" s="146" t="s">
        <v>181</v>
      </c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</row>
    <row r="78" spans="3:45" ht="27" hidden="1"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27" t="s">
        <v>297</v>
      </c>
      <c r="P78" s="128" t="s">
        <v>298</v>
      </c>
      <c r="Q78" s="128" t="s">
        <v>299</v>
      </c>
      <c r="R78" s="140">
        <f>INT(1000000*F56*(100-F59)/80)</f>
        <v>1125000000</v>
      </c>
      <c r="S78" s="146" t="s">
        <v>523</v>
      </c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131"/>
      <c r="AH78" s="131"/>
      <c r="AI78" s="131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</row>
    <row r="79" spans="3:45" ht="40.5" hidden="1"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80" t="s">
        <v>301</v>
      </c>
      <c r="P79" s="152" t="s">
        <v>302</v>
      </c>
      <c r="Q79" s="152" t="s">
        <v>524</v>
      </c>
      <c r="R79" s="153">
        <f>ROUNDUP(R77*1000000/R78,0)*10</f>
        <v>244800</v>
      </c>
      <c r="S79" s="185" t="s">
        <v>81</v>
      </c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</row>
    <row r="80" spans="3:45" hidden="1">
      <c r="I80" s="131"/>
      <c r="J80" s="131"/>
      <c r="K80" s="131"/>
      <c r="L80" s="131"/>
      <c r="M80" s="131"/>
    </row>
    <row r="81" spans="9:19" hidden="1">
      <c r="I81" s="131"/>
      <c r="J81" s="131"/>
      <c r="K81" s="131"/>
      <c r="L81" s="131"/>
      <c r="M81" s="131"/>
      <c r="O81" s="115"/>
      <c r="P81" s="115"/>
      <c r="Q81" s="115"/>
      <c r="R81" s="115"/>
      <c r="S81" s="115"/>
    </row>
    <row r="82" spans="9:19" hidden="1">
      <c r="O82" s="115"/>
      <c r="P82" s="115"/>
      <c r="Q82" s="115"/>
      <c r="R82" s="115"/>
      <c r="S82" s="115"/>
    </row>
    <row r="83" spans="9:19" hidden="1">
      <c r="O83" s="115"/>
      <c r="P83" s="115"/>
      <c r="Q83" s="115"/>
      <c r="R83" s="115"/>
      <c r="S83" s="115"/>
    </row>
    <row r="84" spans="9:19" hidden="1">
      <c r="O84" s="115"/>
      <c r="P84" s="115"/>
      <c r="Q84" s="115"/>
      <c r="R84" s="115"/>
      <c r="S84" s="115"/>
    </row>
    <row r="85" spans="9:19" hidden="1">
      <c r="O85" s="115"/>
      <c r="P85" s="115"/>
      <c r="Q85" s="115"/>
      <c r="R85" s="115"/>
      <c r="S85" s="115"/>
    </row>
    <row r="86" spans="9:19">
      <c r="O86" s="115"/>
      <c r="P86" s="115"/>
      <c r="Q86" s="115"/>
      <c r="R86" s="115"/>
      <c r="S86" s="115"/>
    </row>
    <row r="87" spans="9:19">
      <c r="O87" s="115"/>
      <c r="P87" s="115"/>
      <c r="Q87" s="115"/>
      <c r="R87" s="115"/>
      <c r="S87" s="115"/>
    </row>
    <row r="88" spans="9:19">
      <c r="O88" s="115"/>
      <c r="P88" s="115"/>
      <c r="Q88" s="115"/>
      <c r="R88" s="115"/>
      <c r="S88" s="115"/>
    </row>
    <row r="89" spans="9:19">
      <c r="O89" s="115"/>
      <c r="P89" s="115"/>
      <c r="Q89" s="115"/>
      <c r="R89" s="115"/>
      <c r="S89" s="115"/>
    </row>
    <row r="90" spans="9:19">
      <c r="O90" s="115"/>
      <c r="P90" s="115"/>
      <c r="Q90" s="115"/>
      <c r="R90" s="115"/>
      <c r="S90" s="115"/>
    </row>
    <row r="91" spans="9:19">
      <c r="O91" s="115"/>
      <c r="P91" s="115"/>
      <c r="Q91" s="115"/>
      <c r="R91" s="115"/>
      <c r="S91" s="115"/>
    </row>
    <row r="92" spans="9:19">
      <c r="O92" s="115"/>
      <c r="P92" s="115"/>
      <c r="Q92" s="115"/>
      <c r="R92" s="115"/>
      <c r="S92" s="115"/>
    </row>
  </sheetData>
  <sheetProtection password="DE11" sheet="1" objects="1" selectLockedCells="1"/>
  <mergeCells count="25">
    <mergeCell ref="I38:M38"/>
    <mergeCell ref="O38:S38"/>
    <mergeCell ref="U38:AS38"/>
    <mergeCell ref="C39:G39"/>
    <mergeCell ref="I39:M39"/>
    <mergeCell ref="O39:S39"/>
    <mergeCell ref="C41:G41"/>
    <mergeCell ref="C43:G43"/>
    <mergeCell ref="I44:M44"/>
    <mergeCell ref="C46:G46"/>
    <mergeCell ref="C48:G48"/>
    <mergeCell ref="I49:M49"/>
    <mergeCell ref="O50:S50"/>
    <mergeCell ref="C53:G53"/>
    <mergeCell ref="I54:M54"/>
    <mergeCell ref="C55:G55"/>
    <mergeCell ref="C66:G66"/>
    <mergeCell ref="D67:E67"/>
    <mergeCell ref="F67:G67"/>
    <mergeCell ref="U56:Y56"/>
    <mergeCell ref="I58:M58"/>
    <mergeCell ref="C60:G60"/>
    <mergeCell ref="I60:M60"/>
    <mergeCell ref="C63:G63"/>
    <mergeCell ref="O63:S63"/>
  </mergeCells>
  <phoneticPr fontId="16" type="noConversion"/>
  <dataValidations count="30">
    <dataValidation allowBlank="1" showErrorMessage="1" promptTitle="参数变化" prompt="该参数会根据当前生效的水平像素Binning、水平像素抽样变化" sqref="C2"/>
    <dataValidation type="whole" allowBlank="1" showInputMessage="1" showErrorMessage="1" error="设置值范围为0~包间隔最大值" sqref="C12">
      <formula1>0</formula1>
      <formula2>C13</formula2>
    </dataValidation>
    <dataValidation allowBlank="1" showInputMessage="1" showErrorMessage="1" error="输入范围是64~1024，步长为2" sqref="A1:C1"/>
    <dataValidation type="custom" allowBlank="1" showInputMessage="1" showErrorMessage="1" error="请输入8或者12" sqref="C10">
      <formula1>OR((C10=8),(C10=12))</formula1>
    </dataValidation>
    <dataValidation type="custom" allowBlank="1" showInputMessage="1" showErrorMessage="1" errorTitle="输入数值非法" error="输入范围是4~图像宽度最大值，步长为4" sqref="C4">
      <formula1>AND((C4&lt;=C2),(C4&gt;=4),(MOD(C4,4)=0))</formula1>
    </dataValidation>
    <dataValidation type="list" allowBlank="1" showInputMessage="1" showErrorMessage="1" sqref="F56">
      <formula1>"1000,100"</formula1>
    </dataValidation>
    <dataValidation allowBlank="1" showErrorMessage="1" promptTitle="参数变化" prompt="该参数会根据当前生效的垂直像素Binning、垂直像素抽样变化" sqref="C3"/>
    <dataValidation type="whole" allowBlank="1" showInputMessage="1" showErrorMessage="1" errorTitle="超出范围" error="曝光时间的范围是14us-1s" sqref="C8 F44">
      <formula1>14</formula1>
      <formula2>1000000</formula2>
    </dataValidation>
    <dataValidation type="custom" allowBlank="1" showInputMessage="1" showErrorMessage="1" errorTitle="输入数值非法" error="输入范围是2~图像高度最大值，步长为2" sqref="C5">
      <formula1>AND((C5&lt;=C3),(C5&gt;=2),(MOD(C5,2)=0))</formula1>
    </dataValidation>
    <dataValidation type="whole" allowBlank="1" showInputMessage="1" showErrorMessage="1" error="设置范围为0~预留带宽最大值" sqref="C17">
      <formula1>0</formula1>
      <formula2>C18</formula2>
    </dataValidation>
    <dataValidation type="whole" allowBlank="1" showInputMessage="1" showErrorMessage="1" error="输入范围是[0,5000]，单位为us" sqref="C9">
      <formula1>0</formula1>
      <formula2>5000</formula2>
    </dataValidation>
    <dataValidation type="custom" allowBlank="1" showInputMessage="1" showErrorMessage="1" error="输入范围是512~8192，步长为4" sqref="C11">
      <formula1>AND((C11&lt;=8192),(C11&gt;=512),(MOD(C11,4)=0))</formula1>
    </dataValidation>
    <dataValidation type="custom" allowBlank="1" showInputMessage="1" showErrorMessage="1" error="设置值范围0.1~10000.0，精确到一位小数" sqref="C14">
      <formula1>AND(TRUNC(C14,1)=C14,(C14&gt;=0.1),(C14&lt;=10000))</formula1>
    </dataValidation>
    <dataValidation type="whole" allowBlank="1" showInputMessage="1" showErrorMessage="1" errorTitle="超出范围" error="触发延时的范围是0-3000000us" sqref="F47">
      <formula1>0</formula1>
      <formula2>3000000</formula2>
    </dataValidation>
    <dataValidation type="list" allowBlank="1" showInputMessage="1" showErrorMessage="1" errorTitle="超出范围" error="请输入0或者1" sqref="C15">
      <formula1>"0,1"</formula1>
    </dataValidation>
    <dataValidation type="whole" errorStyle="information" operator="lessThanOrEqual" allowBlank="1" showErrorMessage="1" error="设置垂直Binning/Skipping时，需要同步修改垂直ROI" sqref="F65">
      <formula1>1</formula1>
    </dataValidation>
    <dataValidation type="custom" allowBlank="1" showInputMessage="1" showErrorMessage="1" error="请输入1000或者100" sqref="C16">
      <formula1>OR((C16=1000),(C16=100))</formula1>
    </dataValidation>
    <dataValidation type="list" allowBlank="1" showInputMessage="1" showErrorMessage="1" sqref="E38">
      <formula1>$S$8:$S$16</formula1>
    </dataValidation>
    <dataValidation type="list" allowBlank="1" showInputMessage="1" showErrorMessage="1" sqref="F42">
      <formula1>"8,12"</formula1>
    </dataValidation>
    <dataValidation type="whole" allowBlank="1" showInputMessage="1" showErrorMessage="1" errorTitle="超出范围" error="曝光延迟的范围是0-5000us" sqref="F45">
      <formula1>0</formula1>
      <formula2>5000</formula2>
    </dataValidation>
    <dataValidation type="whole" allowBlank="1" showInputMessage="1" showErrorMessage="1" errorTitle="输入数值非法" error="最小值4，最大值D12" sqref="F51">
      <formula1>4</formula1>
      <formula2>E51</formula2>
    </dataValidation>
    <dataValidation type="whole" allowBlank="1" showInputMessage="1" showErrorMessage="1" errorTitle="输入数值非法" error="最小值2，最大值D13" sqref="F52">
      <formula1>2</formula1>
      <formula2>E52</formula2>
    </dataValidation>
    <dataValidation type="list" allowBlank="1" showInputMessage="1" showErrorMessage="1" sqref="F54">
      <formula1>"0,1"</formula1>
    </dataValidation>
    <dataValidation type="custom" allowBlank="1" showInputMessage="1" showErrorMessage="1" sqref="F57">
      <formula1>AND(MOD(F57,4)=0,F57&gt;=512,F57&lt;=16384)</formula1>
    </dataValidation>
    <dataValidation type="whole" allowBlank="1" showInputMessage="1" showErrorMessage="1" errorTitle="设置值超出范围" error="包间隔设置值超出范围" sqref="F58">
      <formula1>0</formula1>
      <formula2>L59</formula2>
    </dataValidation>
    <dataValidation type="whole" allowBlank="1" showInputMessage="1" showErrorMessage="1" errorTitle="设置值超出范围" error="预留带宽设置值超出范围" sqref="F59">
      <formula1>0</formula1>
      <formula2>L61</formula2>
    </dataValidation>
    <dataValidation type="list" allowBlank="1" showInputMessage="1" showErrorMessage="1" errorTitle="超出范围" error="0:关闭_x000a_1:打开" sqref="F61">
      <formula1>"0,1"</formula1>
    </dataValidation>
    <dataValidation type="decimal" allowBlank="1" showInputMessage="1" showErrorMessage="1" sqref="F62">
      <formula1>0.1</formula1>
      <formula2>10000</formula2>
    </dataValidation>
    <dataValidation type="whole" errorStyle="information" operator="lessThanOrEqual" allowBlank="1" showErrorMessage="1" error="设置水平Binning/Skipping时，需要同步修改水平ROI" sqref="F64">
      <formula1>1</formula1>
    </dataValidation>
    <dataValidation type="custom" allowBlank="1" showInputMessage="1" showErrorMessage="1" error="输入参数值为1或者2" sqref="C6:C7">
      <formula1>OR((C6=1),(C6=2))</formula1>
    </dataValidation>
  </dataValidations>
  <pageMargins left="0.7" right="0.7" top="0.75" bottom="0.75" header="0.3" footer="0.3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AU123"/>
  <sheetViews>
    <sheetView zoomScale="130" zoomScaleNormal="130" workbookViewId="0">
      <selection activeCell="B1" sqref="B1"/>
    </sheetView>
  </sheetViews>
  <sheetFormatPr defaultColWidth="9" defaultRowHeight="13.5"/>
  <cols>
    <col min="1" max="1" width="40.875" customWidth="1"/>
    <col min="2" max="2" width="36.25" customWidth="1"/>
    <col min="4" max="4" width="9" customWidth="1"/>
    <col min="5" max="5" width="9" hidden="1" customWidth="1"/>
    <col min="6" max="6" width="12.75" hidden="1" customWidth="1"/>
    <col min="7" max="7" width="39.25" hidden="1" customWidth="1"/>
    <col min="8" max="8" width="23.125" hidden="1" customWidth="1"/>
    <col min="9" max="13" width="9" hidden="1" customWidth="1"/>
    <col min="14" max="14" width="23.5" hidden="1" customWidth="1"/>
    <col min="15" max="15" width="15.375" hidden="1" customWidth="1"/>
    <col min="16" max="19" width="9" hidden="1" customWidth="1"/>
    <col min="20" max="20" width="61.375" hidden="1" customWidth="1"/>
    <col min="21" max="21" width="18.375" hidden="1" customWidth="1"/>
    <col min="22" max="47" width="9" hidden="1" customWidth="1"/>
    <col min="48" max="50" width="9" customWidth="1"/>
  </cols>
  <sheetData>
    <row r="1" spans="1:7">
      <c r="A1" s="2"/>
      <c r="B1" s="3"/>
    </row>
    <row r="2" spans="1:7">
      <c r="A2" s="4" t="s">
        <v>312</v>
      </c>
      <c r="B2" s="5">
        <f>H49</f>
        <v>1280</v>
      </c>
    </row>
    <row r="3" spans="1:7">
      <c r="A3" s="4" t="s">
        <v>314</v>
      </c>
      <c r="B3" s="5">
        <f>H50</f>
        <v>1024</v>
      </c>
    </row>
    <row r="4" spans="1:7">
      <c r="A4" s="2" t="s">
        <v>28</v>
      </c>
      <c r="B4" s="6">
        <v>1280</v>
      </c>
      <c r="C4" s="7" t="str">
        <f>IF(OR(B4&gt;B2,B4&lt;2),G17,"")</f>
        <v/>
      </c>
    </row>
    <row r="5" spans="1:7">
      <c r="A5" s="2" t="s">
        <v>29</v>
      </c>
      <c r="B5" s="6">
        <v>1024</v>
      </c>
      <c r="C5" s="7" t="str">
        <f>IF(OR(B5&gt;B3,B5&lt;2),G18,"")</f>
        <v/>
      </c>
    </row>
    <row r="6" spans="1:7">
      <c r="A6" s="4" t="s">
        <v>320</v>
      </c>
      <c r="B6" s="8">
        <v>1</v>
      </c>
      <c r="C6" s="7" t="str">
        <f>IF(AND(B6=2,B8=2),"Bining Horizontal and Decimation Horizontal cannot be set together"," ")</f>
        <v xml:space="preserve"> </v>
      </c>
    </row>
    <row r="7" spans="1:7">
      <c r="A7" s="4" t="s">
        <v>322</v>
      </c>
      <c r="B7" s="8">
        <v>1</v>
      </c>
      <c r="C7" s="7" t="str">
        <f>IF(AND(B7=2,B9=2),"Bining Vertical and Decimation Vertical cannot be set together"," ")</f>
        <v xml:space="preserve"> </v>
      </c>
    </row>
    <row r="8" spans="1:7">
      <c r="A8" s="4" t="s">
        <v>525</v>
      </c>
      <c r="B8" s="8">
        <v>1</v>
      </c>
      <c r="C8" s="7" t="str">
        <f>IF(AND(B6=2,B8=2),"Bining Horizontal and Decimation Horizontal cannot be set together"," ")</f>
        <v xml:space="preserve"> </v>
      </c>
    </row>
    <row r="9" spans="1:7">
      <c r="A9" s="4" t="s">
        <v>526</v>
      </c>
      <c r="B9" s="8">
        <v>1</v>
      </c>
      <c r="C9" s="9" t="str">
        <f>IF(AND(B7=2,B9=2),"Bining Vertical and Decimation Vertical cannot be set together"," ")</f>
        <v xml:space="preserve"> </v>
      </c>
    </row>
    <row r="10" spans="1:7">
      <c r="A10" s="2" t="s">
        <v>30</v>
      </c>
      <c r="B10" s="10">
        <v>10000</v>
      </c>
    </row>
    <row r="11" spans="1:7">
      <c r="A11" s="4" t="s">
        <v>323</v>
      </c>
      <c r="B11" s="8">
        <v>0</v>
      </c>
    </row>
    <row r="12" spans="1:7" ht="27">
      <c r="A12" s="2" t="s">
        <v>527</v>
      </c>
      <c r="B12" s="6">
        <v>8</v>
      </c>
    </row>
    <row r="13" spans="1:7">
      <c r="A13" s="2" t="s">
        <v>528</v>
      </c>
      <c r="B13" s="6">
        <v>12</v>
      </c>
      <c r="C13" s="7" t="str">
        <f>IF(B12=8,IF(AND(B13&lt;&gt;8,B13&lt;&gt;10,B13&lt;&gt;12),"",""),IF(OR(B12=10,B12="10p"),IF(B13&lt;&gt;10,"Only Set BPP10",""),IF(OR(B12=12,B12="12p"),IF(B13&lt;&gt;12,"Only Set BPP12",""),"")))</f>
        <v/>
      </c>
    </row>
    <row r="14" spans="1:7">
      <c r="A14" s="2" t="s">
        <v>32</v>
      </c>
      <c r="B14" s="6">
        <v>1500</v>
      </c>
    </row>
    <row r="15" spans="1:7">
      <c r="A15" s="2" t="s">
        <v>33</v>
      </c>
      <c r="B15" s="6">
        <v>0</v>
      </c>
    </row>
    <row r="16" spans="1:7">
      <c r="A16" s="2" t="s">
        <v>34</v>
      </c>
      <c r="B16" s="11">
        <f>O50</f>
        <v>180000</v>
      </c>
      <c r="G16" s="12" t="s">
        <v>364</v>
      </c>
    </row>
    <row r="17" spans="1:45">
      <c r="A17" s="2" t="s">
        <v>35</v>
      </c>
      <c r="B17" s="6">
        <v>94.5</v>
      </c>
      <c r="G17" t="s">
        <v>529</v>
      </c>
    </row>
    <row r="18" spans="1:45">
      <c r="A18" s="2" t="s">
        <v>36</v>
      </c>
      <c r="B18" s="6">
        <v>0</v>
      </c>
      <c r="G18" t="s">
        <v>530</v>
      </c>
    </row>
    <row r="19" spans="1:45">
      <c r="A19" s="2" t="s">
        <v>37</v>
      </c>
      <c r="B19" s="6">
        <v>1000</v>
      </c>
      <c r="G19" t="s">
        <v>361</v>
      </c>
    </row>
    <row r="20" spans="1:45">
      <c r="A20" s="2" t="s">
        <v>38</v>
      </c>
      <c r="B20" s="6">
        <v>10</v>
      </c>
      <c r="G20" s="12"/>
    </row>
    <row r="21" spans="1:45">
      <c r="A21" s="2" t="s">
        <v>39</v>
      </c>
      <c r="B21" s="11">
        <f>O52</f>
        <v>99</v>
      </c>
      <c r="G21" s="12"/>
    </row>
    <row r="22" spans="1:45">
      <c r="A22" s="2" t="s">
        <v>531</v>
      </c>
      <c r="B22" s="6">
        <v>0</v>
      </c>
      <c r="G22" s="12">
        <f>IF(OR(OR(B4&gt;B2,B4&lt;4),OR(B5&gt;B3,B5&lt;2)),1,0)</f>
        <v>0</v>
      </c>
    </row>
    <row r="23" spans="1:45">
      <c r="A23" s="2" t="s">
        <v>532</v>
      </c>
      <c r="B23" s="6" t="s">
        <v>533</v>
      </c>
    </row>
    <row r="24" spans="1:45" ht="14.25">
      <c r="A24" s="13"/>
      <c r="B24" s="11"/>
    </row>
    <row r="25" spans="1:45" ht="14.25">
      <c r="A25" s="13" t="s">
        <v>40</v>
      </c>
      <c r="B25" s="14">
        <f>O32</f>
        <v>72.03572972194209</v>
      </c>
      <c r="C25" s="7" t="str">
        <f>IF(G22,G19,"")</f>
        <v/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27">
      <c r="F26" s="15" t="s">
        <v>534</v>
      </c>
      <c r="G26" s="15" t="s">
        <v>535</v>
      </c>
      <c r="H26" s="16" t="s">
        <v>536</v>
      </c>
      <c r="I26" s="31"/>
      <c r="J26" s="31"/>
      <c r="K26" s="1" t="s">
        <v>537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31"/>
      <c r="Y26" s="31"/>
      <c r="Z26" s="31"/>
      <c r="AA26" s="31"/>
      <c r="AB26" s="31"/>
      <c r="AC26" s="3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27">
      <c r="F27" s="17" t="s">
        <v>42</v>
      </c>
      <c r="G27" s="18" t="s">
        <v>41</v>
      </c>
      <c r="H27" s="19" t="s">
        <v>538</v>
      </c>
      <c r="I27" s="31"/>
      <c r="J27" s="31"/>
      <c r="K27" s="1"/>
      <c r="L27" s="249" t="s">
        <v>44</v>
      </c>
      <c r="M27" s="250"/>
      <c r="N27" s="250"/>
      <c r="O27" s="250"/>
      <c r="P27" s="251"/>
      <c r="Q27" s="1"/>
      <c r="R27" s="249" t="s">
        <v>45</v>
      </c>
      <c r="S27" s="250"/>
      <c r="T27" s="250"/>
      <c r="U27" s="250"/>
      <c r="V27" s="251"/>
      <c r="W27" s="1"/>
      <c r="X27" s="293" t="s">
        <v>370</v>
      </c>
      <c r="Y27" s="294"/>
      <c r="Z27" s="294"/>
      <c r="AA27" s="294"/>
      <c r="AB27" s="294"/>
      <c r="AC27" s="294"/>
      <c r="AD27" s="294"/>
      <c r="AE27" s="294"/>
      <c r="AF27" s="294"/>
      <c r="AG27" s="294"/>
      <c r="AH27" s="294"/>
      <c r="AI27" s="294"/>
      <c r="AJ27" s="294"/>
      <c r="AK27" s="294"/>
      <c r="AL27" s="294"/>
      <c r="AM27" s="294"/>
      <c r="AN27" s="294"/>
      <c r="AO27" s="294"/>
      <c r="AP27" s="294"/>
      <c r="AQ27" s="294"/>
      <c r="AR27" s="294"/>
      <c r="AS27" s="294"/>
    </row>
    <row r="28" spans="1:45" ht="54">
      <c r="F28" s="250" t="s">
        <v>371</v>
      </c>
      <c r="G28" s="250"/>
      <c r="H28" s="250"/>
      <c r="I28" s="250"/>
      <c r="J28" s="251"/>
      <c r="K28" s="1"/>
      <c r="L28" s="32" t="s">
        <v>48</v>
      </c>
      <c r="M28" s="20" t="s">
        <v>49</v>
      </c>
      <c r="N28" s="33" t="s">
        <v>50</v>
      </c>
      <c r="O28" s="20" t="s">
        <v>51</v>
      </c>
      <c r="P28" s="34" t="s">
        <v>52</v>
      </c>
      <c r="Q28" s="1"/>
      <c r="R28" s="233" t="s">
        <v>539</v>
      </c>
      <c r="S28" s="234"/>
      <c r="T28" s="234"/>
      <c r="U28" s="234"/>
      <c r="V28" s="235"/>
      <c r="W28" s="1"/>
      <c r="X28" s="59" t="s">
        <v>373</v>
      </c>
      <c r="Y28" s="74" t="s">
        <v>374</v>
      </c>
      <c r="Z28" s="74" t="s">
        <v>540</v>
      </c>
      <c r="AA28" s="74" t="s">
        <v>541</v>
      </c>
      <c r="AB28" s="74" t="s">
        <v>377</v>
      </c>
      <c r="AC28" s="74" t="s">
        <v>378</v>
      </c>
      <c r="AD28" s="74" t="s">
        <v>379</v>
      </c>
      <c r="AE28" s="74" t="s">
        <v>380</v>
      </c>
      <c r="AF28" s="74" t="s">
        <v>381</v>
      </c>
      <c r="AG28" s="74" t="s">
        <v>382</v>
      </c>
      <c r="AH28" s="74" t="s">
        <v>383</v>
      </c>
      <c r="AI28" s="74" t="s">
        <v>384</v>
      </c>
      <c r="AJ28" s="84" t="s">
        <v>542</v>
      </c>
      <c r="AK28" s="74" t="s">
        <v>543</v>
      </c>
      <c r="AL28" s="74" t="s">
        <v>544</v>
      </c>
      <c r="AM28" s="74" t="s">
        <v>545</v>
      </c>
      <c r="AN28" s="74" t="s">
        <v>546</v>
      </c>
      <c r="AO28" s="74" t="s">
        <v>547</v>
      </c>
      <c r="AP28" s="74" t="s">
        <v>548</v>
      </c>
      <c r="AQ28" s="86" t="s">
        <v>549</v>
      </c>
      <c r="AR28" s="86" t="s">
        <v>550</v>
      </c>
      <c r="AS28" s="87" t="s">
        <v>551</v>
      </c>
    </row>
    <row r="29" spans="1:45" ht="54">
      <c r="F29" s="20" t="s">
        <v>48</v>
      </c>
      <c r="G29" s="20" t="s">
        <v>552</v>
      </c>
      <c r="H29" s="20" t="s">
        <v>58</v>
      </c>
      <c r="I29" s="20" t="s">
        <v>59</v>
      </c>
      <c r="J29" s="35" t="s">
        <v>52</v>
      </c>
      <c r="K29" s="1"/>
      <c r="L29" s="233" t="s">
        <v>60</v>
      </c>
      <c r="M29" s="234"/>
      <c r="N29" s="234"/>
      <c r="O29" s="234"/>
      <c r="P29" s="235"/>
      <c r="Q29" s="1"/>
      <c r="R29" s="32" t="s">
        <v>48</v>
      </c>
      <c r="S29" s="20" t="s">
        <v>49</v>
      </c>
      <c r="T29" s="20" t="s">
        <v>50</v>
      </c>
      <c r="U29" s="20" t="s">
        <v>61</v>
      </c>
      <c r="V29" s="60" t="s">
        <v>52</v>
      </c>
      <c r="W29" s="1"/>
      <c r="X29" s="61" t="s">
        <v>538</v>
      </c>
      <c r="Y29" s="75" t="s">
        <v>553</v>
      </c>
      <c r="Z29" s="75" t="s">
        <v>554</v>
      </c>
      <c r="AA29" s="76" t="str">
        <f>IF(OR(H26="A7",H26="A7-100T"),"37647","不确定")</f>
        <v>37647</v>
      </c>
      <c r="AB29" s="75">
        <v>1</v>
      </c>
      <c r="AC29" s="75">
        <v>4</v>
      </c>
      <c r="AD29" s="75">
        <f>8/I67</f>
        <v>8</v>
      </c>
      <c r="AE29" s="75">
        <f>4</f>
        <v>4</v>
      </c>
      <c r="AF29" s="75">
        <f>1280/I67/I64</f>
        <v>1280</v>
      </c>
      <c r="AG29" s="75">
        <v>8</v>
      </c>
      <c r="AH29" s="75">
        <f>1392/I67</f>
        <v>1392</v>
      </c>
      <c r="AI29" s="75">
        <f>1024/I68/I65</f>
        <v>1024</v>
      </c>
      <c r="AJ29" s="85" t="str">
        <f>IF(OR(H26="A7",H26="A7-100T"),IF(I32=12,"493",IF(I32=10,"282","262")),"不确定")</f>
        <v>493</v>
      </c>
      <c r="AK29" s="75">
        <v>36</v>
      </c>
      <c r="AL29" s="75">
        <v>17</v>
      </c>
      <c r="AM29" s="52">
        <v>7372</v>
      </c>
      <c r="AN29" s="75">
        <v>10</v>
      </c>
      <c r="AO29" s="75">
        <v>10000</v>
      </c>
      <c r="AP29" s="75">
        <v>49</v>
      </c>
      <c r="AQ29" s="88" t="s">
        <v>555</v>
      </c>
      <c r="AR29" s="88">
        <v>4</v>
      </c>
      <c r="AS29" s="89">
        <v>80000</v>
      </c>
    </row>
    <row r="30" spans="1:45" ht="135">
      <c r="F30" s="234" t="s">
        <v>65</v>
      </c>
      <c r="G30" s="234"/>
      <c r="H30" s="234"/>
      <c r="I30" s="234"/>
      <c r="J30" s="235"/>
      <c r="K30" s="1"/>
      <c r="L30" s="25" t="s">
        <v>66</v>
      </c>
      <c r="M30" s="22" t="s">
        <v>67</v>
      </c>
      <c r="N30" s="38" t="s">
        <v>68</v>
      </c>
      <c r="O30" s="39">
        <f>ROUNDUP(1000000*U33/U30,0)</f>
        <v>13096</v>
      </c>
      <c r="P30" s="40" t="s">
        <v>69</v>
      </c>
      <c r="Q30" s="1"/>
      <c r="R30" s="62" t="s">
        <v>556</v>
      </c>
      <c r="S30" s="57" t="s">
        <v>70</v>
      </c>
      <c r="T30" s="57" t="s">
        <v>557</v>
      </c>
      <c r="U30" s="58" t="str">
        <f>VLOOKUP($H$27,$X$29:$AQ$45,4,FALSE)</f>
        <v>37647</v>
      </c>
      <c r="V30" s="63" t="s">
        <v>72</v>
      </c>
      <c r="W30" s="1"/>
      <c r="X30" s="64"/>
      <c r="Y30" s="109"/>
      <c r="Z30" s="110"/>
      <c r="AA30" s="111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 t="s">
        <v>558</v>
      </c>
      <c r="AQ30" s="110"/>
      <c r="AR30" s="110"/>
      <c r="AS30" s="110"/>
    </row>
    <row r="31" spans="1:45" ht="216">
      <c r="F31" s="22" t="str">
        <f>VLOOKUP($H$27,$X$29:$AQ$45,20,FALSE)</f>
        <v>像素格式(8/10/12)</v>
      </c>
      <c r="G31" s="22" t="s">
        <v>76</v>
      </c>
      <c r="H31" s="22">
        <v>8</v>
      </c>
      <c r="I31" s="41">
        <f>B12</f>
        <v>8</v>
      </c>
      <c r="J31" s="42" t="s">
        <v>84</v>
      </c>
      <c r="K31" s="1"/>
      <c r="L31" s="25" t="s">
        <v>78</v>
      </c>
      <c r="M31" s="22" t="s">
        <v>79</v>
      </c>
      <c r="N31" s="38" t="s">
        <v>559</v>
      </c>
      <c r="O31" s="43">
        <f>IF(I37="Ultra Short",MAX(O34,O35,O36,O37),IF(I35="TriggerWidth",ROUNDUP(MAX(O34,O55,O36)*O30/1000,0),ROUNDUP(MAX(O34,O35,O36,O37)*O30/1000,0)))</f>
        <v>13882</v>
      </c>
      <c r="P31" s="40" t="s">
        <v>81</v>
      </c>
      <c r="Q31" s="1"/>
      <c r="R31" s="62" t="s">
        <v>98</v>
      </c>
      <c r="S31" s="57" t="s">
        <v>99</v>
      </c>
      <c r="T31" s="57" t="s">
        <v>560</v>
      </c>
      <c r="U31" s="58">
        <f>VLOOKUP($H$27,$X$29:$AQ$45,7,FALSE)</f>
        <v>8</v>
      </c>
      <c r="V31" s="63" t="s">
        <v>100</v>
      </c>
      <c r="W31" s="1"/>
      <c r="X31" s="64"/>
      <c r="Y31" s="64"/>
      <c r="Z31" s="64"/>
      <c r="AA31" s="78"/>
      <c r="AB31" s="64"/>
      <c r="AC31" s="64"/>
      <c r="AD31" s="64"/>
      <c r="AE31" s="64"/>
      <c r="AF31" s="64"/>
      <c r="AG31" s="64"/>
      <c r="AH31" s="64"/>
      <c r="AI31" s="64"/>
      <c r="AJ31" s="78"/>
      <c r="AK31" s="64"/>
      <c r="AL31" s="64"/>
      <c r="AM31" s="64"/>
      <c r="AN31" s="64"/>
      <c r="AO31" s="64"/>
      <c r="AP31" s="64"/>
      <c r="AQ31" s="64"/>
      <c r="AR31" s="64"/>
      <c r="AS31" s="64"/>
    </row>
    <row r="32" spans="1:45" ht="189">
      <c r="F32" s="22" t="s">
        <v>561</v>
      </c>
      <c r="G32" s="22" t="s">
        <v>562</v>
      </c>
      <c r="H32" s="22">
        <v>12</v>
      </c>
      <c r="I32" s="41">
        <f>B13</f>
        <v>12</v>
      </c>
      <c r="J32" s="42" t="s">
        <v>84</v>
      </c>
      <c r="K32" s="1"/>
      <c r="L32" s="25" t="s">
        <v>87</v>
      </c>
      <c r="M32" s="22" t="s">
        <v>60</v>
      </c>
      <c r="N32" s="38" t="s">
        <v>563</v>
      </c>
      <c r="O32" s="43">
        <f>1000000/O31</f>
        <v>72.03572972194209</v>
      </c>
      <c r="P32" s="40" t="s">
        <v>89</v>
      </c>
      <c r="Q32" s="1"/>
      <c r="R32" s="62" t="s">
        <v>109</v>
      </c>
      <c r="S32" s="57" t="s">
        <v>564</v>
      </c>
      <c r="T32" s="57" t="s">
        <v>560</v>
      </c>
      <c r="U32" s="58">
        <f>VLOOKUP($H$27,$X$29:$AQ$45,8,FALSE)</f>
        <v>4</v>
      </c>
      <c r="V32" s="63" t="s">
        <v>100</v>
      </c>
      <c r="W32" s="1"/>
      <c r="X32" s="64"/>
      <c r="Y32" s="64"/>
      <c r="Z32" s="64"/>
      <c r="AA32" s="78"/>
      <c r="AB32" s="64"/>
      <c r="AC32" s="64"/>
      <c r="AD32" s="64"/>
      <c r="AE32" s="64"/>
      <c r="AF32" s="64"/>
      <c r="AG32" s="64"/>
      <c r="AH32" s="64"/>
      <c r="AI32" s="64"/>
      <c r="AJ32" s="78"/>
      <c r="AK32" s="64"/>
      <c r="AL32" s="64"/>
      <c r="AM32" s="64"/>
      <c r="AN32" s="64"/>
      <c r="AO32" s="64"/>
      <c r="AP32" s="64"/>
      <c r="AQ32" s="64"/>
      <c r="AR32" s="64"/>
      <c r="AS32" s="64"/>
    </row>
    <row r="33" spans="6:45" ht="121.5">
      <c r="F33" s="234" t="s">
        <v>86</v>
      </c>
      <c r="G33" s="234"/>
      <c r="H33" s="234"/>
      <c r="I33" s="234"/>
      <c r="J33" s="235"/>
      <c r="K33" s="1"/>
      <c r="L33" s="233" t="s">
        <v>97</v>
      </c>
      <c r="M33" s="234"/>
      <c r="N33" s="234"/>
      <c r="O33" s="234"/>
      <c r="P33" s="235"/>
      <c r="Q33" s="1"/>
      <c r="R33" s="62" t="s">
        <v>117</v>
      </c>
      <c r="S33" s="57" t="s">
        <v>565</v>
      </c>
      <c r="T33" s="57" t="s">
        <v>560</v>
      </c>
      <c r="U33" s="65" t="str">
        <f>IF(I31=8,VLOOKUP($H$27,$X$29:$AQ$45,13,FALSE),IF(OR(I31="10p",I31="12p"),ROUNDUP(VLOOKUP($H$27,$X$29:$AQ$45,13,FALSE),0),VLOOKUP($H$27,$X$29:$AQ$45,13,FALSE)))</f>
        <v>493</v>
      </c>
      <c r="V33" s="63" t="s">
        <v>120</v>
      </c>
      <c r="W33" s="1"/>
      <c r="X33" s="64"/>
      <c r="Y33" s="64"/>
      <c r="Z33" s="64"/>
      <c r="AA33" s="78"/>
      <c r="AB33" s="64"/>
      <c r="AC33" s="64"/>
      <c r="AD33" s="64"/>
      <c r="AE33" s="64"/>
      <c r="AF33" s="64"/>
      <c r="AG33" s="64"/>
      <c r="AH33" s="64"/>
      <c r="AI33" s="64"/>
      <c r="AJ33" s="78"/>
      <c r="AK33" s="64"/>
      <c r="AL33" s="64"/>
      <c r="AM33" s="64"/>
      <c r="AN33" s="64"/>
      <c r="AO33" s="64"/>
      <c r="AP33" s="64"/>
      <c r="AQ33" s="64"/>
      <c r="AR33" s="64"/>
      <c r="AS33" s="64"/>
    </row>
    <row r="34" spans="6:45" ht="94.5">
      <c r="F34" s="22" t="s">
        <v>566</v>
      </c>
      <c r="G34" s="22" t="s">
        <v>531</v>
      </c>
      <c r="H34" s="22" t="s">
        <v>567</v>
      </c>
      <c r="I34" s="41">
        <f>B22</f>
        <v>0</v>
      </c>
      <c r="J34" s="42" t="s">
        <v>84</v>
      </c>
      <c r="K34" s="1"/>
      <c r="L34" s="25" t="s">
        <v>105</v>
      </c>
      <c r="M34" s="22" t="s">
        <v>106</v>
      </c>
      <c r="N34" s="22" t="s">
        <v>568</v>
      </c>
      <c r="O34" s="44">
        <f>IF(I37="Ultra Short",ROUNDUP((I50*I65+U35+2)*O30/1000,0),IF(I34=1,I50*I65+U35+O35,I50*I65+U35))</f>
        <v>1060</v>
      </c>
      <c r="P34" s="45" t="str">
        <f>IF(I37="Ultra Short","us","line")</f>
        <v>line</v>
      </c>
      <c r="Q34" s="1"/>
      <c r="R34" s="66" t="s">
        <v>569</v>
      </c>
      <c r="S34" s="23" t="s">
        <v>570</v>
      </c>
      <c r="T34" s="23" t="s">
        <v>571</v>
      </c>
      <c r="U34" s="44">
        <f>ROUNDUP((U33/U30*50*1000),0)</f>
        <v>655</v>
      </c>
      <c r="V34" s="67" t="s">
        <v>120</v>
      </c>
      <c r="W34" s="1"/>
      <c r="X34" s="64"/>
      <c r="Y34" s="64"/>
      <c r="Z34" s="64"/>
      <c r="AA34" s="78"/>
      <c r="AB34" s="64"/>
      <c r="AC34" s="64"/>
      <c r="AD34" s="64"/>
      <c r="AE34" s="64"/>
      <c r="AF34" s="64"/>
      <c r="AG34" s="64"/>
      <c r="AH34" s="64"/>
      <c r="AI34" s="64"/>
      <c r="AJ34" s="78"/>
      <c r="AK34" s="64"/>
      <c r="AL34" s="64"/>
      <c r="AM34" s="64"/>
      <c r="AN34" s="64"/>
      <c r="AO34" s="64"/>
      <c r="AP34" s="64"/>
      <c r="AQ34" s="64"/>
      <c r="AR34" s="64"/>
      <c r="AS34" s="64"/>
    </row>
    <row r="35" spans="6:45" ht="189">
      <c r="F35" s="22" t="s">
        <v>572</v>
      </c>
      <c r="G35" s="22" t="s">
        <v>573</v>
      </c>
      <c r="H35" s="22" t="s">
        <v>574</v>
      </c>
      <c r="I35" s="41" t="s">
        <v>574</v>
      </c>
      <c r="J35" s="42" t="s">
        <v>84</v>
      </c>
      <c r="K35" s="1"/>
      <c r="L35" s="25" t="s">
        <v>114</v>
      </c>
      <c r="M35" s="22" t="s">
        <v>115</v>
      </c>
      <c r="N35" s="22" t="s">
        <v>575</v>
      </c>
      <c r="O35" s="43">
        <f>IF(I37="Ultra Short",O39+O40+O43+20,O39+IF(I54=1,0,O40)+U36)</f>
        <v>781</v>
      </c>
      <c r="P35" s="45" t="str">
        <f>IF(I37="Ultra Short","us","line")</f>
        <v>line</v>
      </c>
      <c r="Q35" s="1"/>
      <c r="R35" s="62" t="s">
        <v>134</v>
      </c>
      <c r="S35" s="57" t="s">
        <v>576</v>
      </c>
      <c r="T35" s="57" t="s">
        <v>560</v>
      </c>
      <c r="U35" s="58">
        <f>VLOOKUP($H$27,$X$29:$AQ$45,14,FALSE)</f>
        <v>36</v>
      </c>
      <c r="V35" s="63" t="s">
        <v>108</v>
      </c>
      <c r="W35" s="1"/>
      <c r="X35" s="31"/>
      <c r="Y35" s="31"/>
      <c r="Z35" s="31"/>
      <c r="AA35" s="31"/>
      <c r="AB35" s="31"/>
      <c r="AC35" s="3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6:45" ht="256.5">
      <c r="F36" s="22" t="str">
        <f>"交叠曝光时间
(0-"&amp;INT((O34-U36)*O30/1000)&amp;")"</f>
        <v>交叠曝光时间
(0-13659)</v>
      </c>
      <c r="G36" s="23" t="s">
        <v>577</v>
      </c>
      <c r="H36" s="22">
        <f>INT((VLOOKUP($H$27,$X$29:$AT$46,12,FALSE)+VLOOKUP($H$27,$X$29:$AT$46,14,FALSE)-U36)*ROUNDUP(1000000*VLOOKUP($H$27,$X$29:$AT$46,13,FALSE)/U30,0)/1000)</f>
        <v>13659</v>
      </c>
      <c r="I36" s="41">
        <v>2000</v>
      </c>
      <c r="J36" s="42" t="s">
        <v>81</v>
      </c>
      <c r="K36" s="1"/>
      <c r="L36" s="25" t="s">
        <v>131</v>
      </c>
      <c r="M36" s="22" t="s">
        <v>132</v>
      </c>
      <c r="N36" s="22" t="s">
        <v>578</v>
      </c>
      <c r="O36" s="43">
        <f>IF(I37="Ultra Short",ROUNDUP((1000000/I62)*I61,0),ROUNDUP(((1000000000/I62)/O30)*I61,0))</f>
        <v>0</v>
      </c>
      <c r="P36" s="45" t="str">
        <f>IF(I37="Ultra Short","us","line")</f>
        <v>line</v>
      </c>
      <c r="Q36" s="1"/>
      <c r="R36" s="62" t="s">
        <v>145</v>
      </c>
      <c r="S36" s="57" t="s">
        <v>579</v>
      </c>
      <c r="T36" s="57" t="s">
        <v>560</v>
      </c>
      <c r="U36" s="58">
        <f>VLOOKUP($H$27,$X$29:$AQ$45,15,FALSE)</f>
        <v>17</v>
      </c>
      <c r="V36" s="63" t="s">
        <v>108</v>
      </c>
      <c r="W36" s="1"/>
      <c r="X36" s="31"/>
      <c r="Y36" s="31"/>
      <c r="Z36" s="31"/>
      <c r="AA36" s="31"/>
      <c r="AB36" s="31"/>
      <c r="AC36" s="3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6:45" ht="202.5">
      <c r="F37" s="22" t="s">
        <v>580</v>
      </c>
      <c r="G37" s="22" t="s">
        <v>532</v>
      </c>
      <c r="H37" s="22" t="s">
        <v>533</v>
      </c>
      <c r="I37" s="41" t="str">
        <f>B23</f>
        <v>Standard</v>
      </c>
      <c r="J37" s="42" t="s">
        <v>84</v>
      </c>
      <c r="K37" s="1"/>
      <c r="L37" s="25" t="s">
        <v>142</v>
      </c>
      <c r="M37" s="22" t="s">
        <v>143</v>
      </c>
      <c r="N37" s="22" t="s">
        <v>581</v>
      </c>
      <c r="O37" s="43">
        <f>IF(I42=0,U74,IF(I43="Standard",U76,0))</f>
        <v>935</v>
      </c>
      <c r="P37" s="45" t="str">
        <f>IF(I37="Ultra Short","us","line")</f>
        <v>line</v>
      </c>
      <c r="Q37" s="1"/>
      <c r="R37" s="25" t="s">
        <v>154</v>
      </c>
      <c r="S37" s="22" t="s">
        <v>582</v>
      </c>
      <c r="T37" s="57" t="s">
        <v>560</v>
      </c>
      <c r="U37" s="58">
        <f>VLOOKUP($H$27,$X$29:$AS$45,16,FALSE)</f>
        <v>7372</v>
      </c>
      <c r="V37" s="40" t="s">
        <v>69</v>
      </c>
      <c r="W37" s="1"/>
      <c r="X37" s="31"/>
      <c r="Y37" s="31"/>
      <c r="Z37" s="31"/>
      <c r="AA37" s="31"/>
      <c r="AB37" s="31"/>
      <c r="AC37" s="3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6:45" ht="40.5">
      <c r="F38" s="22" t="s">
        <v>86</v>
      </c>
      <c r="G38" s="22" t="s">
        <v>95</v>
      </c>
      <c r="H38" s="22">
        <f>VLOOKUP($H$27,$X$29:$AQ$45,18,FALSE)</f>
        <v>10000</v>
      </c>
      <c r="I38" s="31">
        <f>B10</f>
        <v>10000</v>
      </c>
      <c r="J38" s="42" t="s">
        <v>81</v>
      </c>
      <c r="K38" s="1"/>
      <c r="L38" s="233" t="s">
        <v>433</v>
      </c>
      <c r="M38" s="234"/>
      <c r="N38" s="234"/>
      <c r="O38" s="234"/>
      <c r="P38" s="235"/>
      <c r="Q38" s="1"/>
      <c r="R38" s="25" t="s">
        <v>583</v>
      </c>
      <c r="S38" s="22" t="s">
        <v>584</v>
      </c>
      <c r="T38" s="57" t="s">
        <v>560</v>
      </c>
      <c r="U38" s="58">
        <f>VLOOKUP($H$27,$X$29:$AQ$45,5,FALSE)</f>
        <v>1</v>
      </c>
      <c r="V38" s="40"/>
      <c r="W38" s="1"/>
      <c r="X38" s="31"/>
      <c r="Y38" s="31"/>
      <c r="Z38" s="31"/>
      <c r="AA38" s="31"/>
      <c r="AB38" s="31"/>
      <c r="AC38" s="3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6:45" ht="121.5">
      <c r="F39" s="22" t="s">
        <v>103</v>
      </c>
      <c r="G39" s="22" t="s">
        <v>102</v>
      </c>
      <c r="H39" s="22">
        <v>0</v>
      </c>
      <c r="I39" s="41">
        <f>B11</f>
        <v>0</v>
      </c>
      <c r="J39" s="42" t="s">
        <v>81</v>
      </c>
      <c r="K39" s="1"/>
      <c r="L39" s="25" t="s">
        <v>585</v>
      </c>
      <c r="M39" s="22" t="s">
        <v>586</v>
      </c>
      <c r="N39" s="23" t="s">
        <v>587</v>
      </c>
      <c r="O39" s="44">
        <f>IF(I37="Ultra Short",IF(I38&gt;8,ROUNDUP((1000*I38-U37)/1000,0),1),MAX(ROUNDUP(((1000*I38-U37)/O30),0),1))</f>
        <v>764</v>
      </c>
      <c r="P39" s="45" t="str">
        <f>IF(I37="Ultra Short","us","line")</f>
        <v>line</v>
      </c>
      <c r="Q39" s="1"/>
      <c r="R39" s="25" t="s">
        <v>588</v>
      </c>
      <c r="S39" s="22" t="s">
        <v>589</v>
      </c>
      <c r="T39" s="57" t="s">
        <v>560</v>
      </c>
      <c r="U39" s="58">
        <f>VLOOKUP($H$27,$X$29:$AQ$45,6,FALSE)</f>
        <v>4</v>
      </c>
      <c r="V39" s="40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6:45" ht="94.5">
      <c r="F40" s="24" t="s">
        <v>590</v>
      </c>
      <c r="G40" s="23" t="s">
        <v>591</v>
      </c>
      <c r="H40" s="22" t="s">
        <v>84</v>
      </c>
      <c r="I40" s="41">
        <v>10000</v>
      </c>
      <c r="J40" s="22" t="s">
        <v>81</v>
      </c>
      <c r="K40" s="1"/>
      <c r="L40" s="25" t="s">
        <v>592</v>
      </c>
      <c r="M40" s="22" t="s">
        <v>440</v>
      </c>
      <c r="N40" s="22" t="s">
        <v>593</v>
      </c>
      <c r="O40" s="43">
        <f>IF(I37="Ultra Short",I39,ROUNDUP(((1000*I39)/O30),0))</f>
        <v>0</v>
      </c>
      <c r="P40" s="45" t="str">
        <f>IF(I37="Ultra Short","us","line")</f>
        <v>line</v>
      </c>
      <c r="Q40" s="1"/>
      <c r="R40" s="25" t="s">
        <v>594</v>
      </c>
      <c r="S40" s="22" t="s">
        <v>595</v>
      </c>
      <c r="T40" s="57" t="s">
        <v>560</v>
      </c>
      <c r="U40" s="58">
        <f>VLOOKUP($H$27,$X$29:$AQ$45,11,FALSE)</f>
        <v>1392</v>
      </c>
      <c r="V40" s="40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6:45" ht="40.5">
      <c r="F41" s="292" t="s">
        <v>596</v>
      </c>
      <c r="G41" s="237"/>
      <c r="H41" s="237"/>
      <c r="I41" s="237"/>
      <c r="J41" s="238"/>
      <c r="K41" s="1"/>
      <c r="L41" s="25" t="s">
        <v>167</v>
      </c>
      <c r="M41" s="22" t="s">
        <v>168</v>
      </c>
      <c r="N41" s="22">
        <v>0</v>
      </c>
      <c r="O41" s="43">
        <v>0</v>
      </c>
      <c r="P41" s="40" t="s">
        <v>81</v>
      </c>
      <c r="Q41" s="1"/>
      <c r="R41" s="25" t="s">
        <v>597</v>
      </c>
      <c r="S41" s="22" t="s">
        <v>598</v>
      </c>
      <c r="T41" s="57" t="s">
        <v>560</v>
      </c>
      <c r="U41" s="58">
        <f>VLOOKUP($H$27,$X$29:$AS$45,21,FALSE)</f>
        <v>4</v>
      </c>
      <c r="V41" s="40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6:45" ht="189">
      <c r="F42" s="25" t="s">
        <v>596</v>
      </c>
      <c r="G42" s="22" t="s">
        <v>599</v>
      </c>
      <c r="H42" s="22">
        <v>0</v>
      </c>
      <c r="I42" s="41">
        <v>0</v>
      </c>
      <c r="J42" s="46" t="s">
        <v>84</v>
      </c>
      <c r="K42" s="1"/>
      <c r="L42" s="25" t="s">
        <v>171</v>
      </c>
      <c r="M42" s="22" t="s">
        <v>600</v>
      </c>
      <c r="N42" s="22" t="s">
        <v>601</v>
      </c>
      <c r="O42" s="43">
        <f>IF(I37="Ultra Short",IF((I38+4)&gt;100,(I38+4),100),IF((I38+4*O30/1000)&gt;100,(I38+4*O30/1000),100))</f>
        <v>10052.384</v>
      </c>
      <c r="P42" s="40" t="s">
        <v>81</v>
      </c>
      <c r="Q42" s="1"/>
      <c r="R42" s="25" t="s">
        <v>602</v>
      </c>
      <c r="S42" s="22" t="s">
        <v>603</v>
      </c>
      <c r="T42" s="57" t="s">
        <v>560</v>
      </c>
      <c r="U42" s="58">
        <f>VLOOKUP($H$27,$X$29:$AS$45,22,FALSE)</f>
        <v>80000</v>
      </c>
      <c r="V42" s="40" t="s">
        <v>72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6:45" ht="216">
      <c r="F43" s="26" t="s">
        <v>604</v>
      </c>
      <c r="G43" s="22" t="s">
        <v>605</v>
      </c>
      <c r="H43" s="22" t="s">
        <v>533</v>
      </c>
      <c r="I43" s="41" t="s">
        <v>533</v>
      </c>
      <c r="J43" s="42" t="s">
        <v>84</v>
      </c>
      <c r="K43" s="1"/>
      <c r="L43" s="25" t="s">
        <v>199</v>
      </c>
      <c r="M43" s="22" t="s">
        <v>200</v>
      </c>
      <c r="N43" s="22" t="s">
        <v>606</v>
      </c>
      <c r="O43" s="43">
        <f>IF(I37="Ultra Short",ROUNDUP((VLOOKUP($H$27,$X$29:$AQ$45,17,FALSE)+11+I50*I65)*O30/1000,0),VLOOKUP($H$27,$X$29:$AQ$45,17,FALSE)+11+I50*I65)</f>
        <v>1045</v>
      </c>
      <c r="P43" s="45" t="str">
        <f>IF(I37="Ultra Short","us","line")</f>
        <v>line</v>
      </c>
      <c r="Q43" s="1"/>
      <c r="R43" s="289" t="s">
        <v>607</v>
      </c>
      <c r="S43" s="290"/>
      <c r="T43" s="290"/>
      <c r="U43" s="290"/>
      <c r="V43" s="29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6:45">
      <c r="F44" s="234" t="s">
        <v>104</v>
      </c>
      <c r="G44" s="234"/>
      <c r="H44" s="234"/>
      <c r="I44" s="234"/>
      <c r="J44" s="235"/>
      <c r="K44" s="1"/>
      <c r="L44" s="233" t="s">
        <v>346</v>
      </c>
      <c r="M44" s="234"/>
      <c r="N44" s="234"/>
      <c r="O44" s="234"/>
      <c r="P44" s="235"/>
      <c r="Q44" s="1"/>
      <c r="R44" s="233" t="s">
        <v>438</v>
      </c>
      <c r="S44" s="234"/>
      <c r="T44" s="234"/>
      <c r="U44" s="234"/>
      <c r="V44" s="235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6:45" ht="67.5">
      <c r="F45" s="22" t="s">
        <v>425</v>
      </c>
      <c r="G45" s="22" t="s">
        <v>112</v>
      </c>
      <c r="H45" s="22">
        <v>0</v>
      </c>
      <c r="I45" s="41">
        <v>0</v>
      </c>
      <c r="J45" s="42" t="s">
        <v>81</v>
      </c>
      <c r="K45" s="1"/>
      <c r="L45" s="25" t="s">
        <v>449</v>
      </c>
      <c r="M45" s="22" t="s">
        <v>450</v>
      </c>
      <c r="N45" s="22" t="s">
        <v>451</v>
      </c>
      <c r="O45" s="43">
        <f>O32*U62</f>
        <v>94418671.661143929</v>
      </c>
      <c r="P45" s="40" t="s">
        <v>194</v>
      </c>
      <c r="Q45" s="1"/>
      <c r="R45" s="32" t="s">
        <v>48</v>
      </c>
      <c r="S45" s="20" t="s">
        <v>49</v>
      </c>
      <c r="T45" s="20" t="s">
        <v>50</v>
      </c>
      <c r="U45" s="20" t="s">
        <v>61</v>
      </c>
      <c r="V45" s="60" t="s">
        <v>52</v>
      </c>
      <c r="W45" s="1"/>
      <c r="X45" s="68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6:45" ht="40.5">
      <c r="F46" s="234" t="s">
        <v>130</v>
      </c>
      <c r="G46" s="234"/>
      <c r="H46" s="234"/>
      <c r="I46" s="234"/>
      <c r="J46" s="235"/>
      <c r="K46" s="1"/>
      <c r="L46" s="47" t="s">
        <v>454</v>
      </c>
      <c r="M46" s="48" t="s">
        <v>455</v>
      </c>
      <c r="N46" s="22" t="s">
        <v>456</v>
      </c>
      <c r="O46" s="43">
        <f>O32*U70</f>
        <v>98420400.518657267</v>
      </c>
      <c r="P46" s="40" t="s">
        <v>194</v>
      </c>
      <c r="Q46" s="1"/>
      <c r="R46" s="62" t="s">
        <v>221</v>
      </c>
      <c r="S46" s="57" t="s">
        <v>222</v>
      </c>
      <c r="T46" s="57" t="s">
        <v>223</v>
      </c>
      <c r="U46" s="58">
        <v>7</v>
      </c>
      <c r="V46" s="63" t="s">
        <v>181</v>
      </c>
      <c r="W46" s="1"/>
      <c r="X46" s="68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6:45" ht="67.5">
      <c r="F47" s="22" t="s">
        <v>141</v>
      </c>
      <c r="G47" s="22" t="s">
        <v>140</v>
      </c>
      <c r="H47" s="22">
        <v>0</v>
      </c>
      <c r="I47" s="41">
        <v>0</v>
      </c>
      <c r="J47" s="42" t="s">
        <v>100</v>
      </c>
      <c r="K47" s="1"/>
      <c r="L47" s="47" t="s">
        <v>458</v>
      </c>
      <c r="M47" s="48" t="s">
        <v>459</v>
      </c>
      <c r="N47" s="22" t="s">
        <v>460</v>
      </c>
      <c r="O47" s="43">
        <f>1250*I56*(100-I59)</f>
        <v>112500000</v>
      </c>
      <c r="P47" s="40" t="s">
        <v>194</v>
      </c>
      <c r="Q47" s="1"/>
      <c r="R47" s="62" t="s">
        <v>225</v>
      </c>
      <c r="S47" s="57" t="s">
        <v>226</v>
      </c>
      <c r="T47" s="57" t="s">
        <v>227</v>
      </c>
      <c r="U47" s="58">
        <v>1</v>
      </c>
      <c r="V47" s="63" t="s">
        <v>181</v>
      </c>
      <c r="W47" s="1"/>
      <c r="X47" s="249" t="s">
        <v>608</v>
      </c>
      <c r="Y47" s="250"/>
      <c r="Z47" s="250"/>
      <c r="AA47" s="250"/>
      <c r="AB47" s="250"/>
      <c r="AC47" s="25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6:45" ht="27">
      <c r="F48" s="22" t="s">
        <v>152</v>
      </c>
      <c r="G48" s="22" t="s">
        <v>151</v>
      </c>
      <c r="H48" s="22">
        <v>0</v>
      </c>
      <c r="I48" s="41">
        <v>0</v>
      </c>
      <c r="J48" s="42" t="s">
        <v>100</v>
      </c>
      <c r="K48" s="1"/>
      <c r="L48" s="289" t="s">
        <v>607</v>
      </c>
      <c r="M48" s="290"/>
      <c r="N48" s="290"/>
      <c r="O48" s="290"/>
      <c r="P48" s="291"/>
      <c r="Q48" s="1"/>
      <c r="R48" s="62" t="s">
        <v>228</v>
      </c>
      <c r="S48" s="57" t="s">
        <v>229</v>
      </c>
      <c r="T48" s="57" t="s">
        <v>230</v>
      </c>
      <c r="U48" s="58">
        <v>14</v>
      </c>
      <c r="V48" s="63" t="s">
        <v>181</v>
      </c>
      <c r="W48" s="1"/>
      <c r="X48" s="233" t="s">
        <v>111</v>
      </c>
      <c r="Y48" s="234"/>
      <c r="Z48" s="234"/>
      <c r="AA48" s="234"/>
      <c r="AB48" s="234"/>
      <c r="AC48" s="235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6:45" ht="27">
      <c r="F49" s="22" t="s">
        <v>158</v>
      </c>
      <c r="G49" s="22" t="s">
        <v>28</v>
      </c>
      <c r="H49" s="22">
        <f>VLOOKUP($H$27,$X$29:$AQ$45,9,FALSE)</f>
        <v>1280</v>
      </c>
      <c r="I49" s="41">
        <f>B4</f>
        <v>1280</v>
      </c>
      <c r="J49" s="42" t="s">
        <v>100</v>
      </c>
      <c r="K49" s="1"/>
      <c r="L49" s="233" t="s">
        <v>463</v>
      </c>
      <c r="M49" s="234"/>
      <c r="N49" s="234"/>
      <c r="O49" s="234"/>
      <c r="P49" s="235"/>
      <c r="Q49" s="1"/>
      <c r="R49" s="62" t="s">
        <v>233</v>
      </c>
      <c r="S49" s="57" t="s">
        <v>234</v>
      </c>
      <c r="T49" s="57" t="s">
        <v>235</v>
      </c>
      <c r="U49" s="58">
        <v>20</v>
      </c>
      <c r="V49" s="63" t="s">
        <v>181</v>
      </c>
      <c r="W49" s="1"/>
      <c r="X49" s="32" t="s">
        <v>54</v>
      </c>
      <c r="Y49" s="20" t="s">
        <v>49</v>
      </c>
      <c r="Z49" s="20" t="s">
        <v>56</v>
      </c>
      <c r="AA49" s="20" t="s">
        <v>50</v>
      </c>
      <c r="AB49" s="20" t="s">
        <v>57</v>
      </c>
      <c r="AC49" s="35" t="s">
        <v>609</v>
      </c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6:45" ht="47.1" customHeight="1">
      <c r="F50" s="22" t="s">
        <v>166</v>
      </c>
      <c r="G50" s="22" t="s">
        <v>29</v>
      </c>
      <c r="H50" s="22">
        <f>VLOOKUP($H$27,$X$29:$AQ$45,12,FALSE)</f>
        <v>1024</v>
      </c>
      <c r="I50" s="41">
        <f>B5</f>
        <v>1024</v>
      </c>
      <c r="J50" s="42" t="s">
        <v>100</v>
      </c>
      <c r="K50" s="1"/>
      <c r="L50" s="47" t="s">
        <v>468</v>
      </c>
      <c r="M50" s="49" t="s">
        <v>469</v>
      </c>
      <c r="N50" s="22" t="s">
        <v>610</v>
      </c>
      <c r="O50" s="43">
        <f>IF(ROUNDDOWN((U73-(U70+U68+U69))/(U64+U66+2),0)-12&lt;180000,ROUNDDOWN((U73-(U70+U68+U69))/(U64+U66+2)-12,0),180000)</f>
        <v>180000</v>
      </c>
      <c r="P50" s="40" t="s">
        <v>181</v>
      </c>
      <c r="Q50" s="1"/>
      <c r="R50" s="62" t="s">
        <v>236</v>
      </c>
      <c r="S50" s="57" t="s">
        <v>237</v>
      </c>
      <c r="T50" s="57" t="s">
        <v>238</v>
      </c>
      <c r="U50" s="58">
        <v>8</v>
      </c>
      <c r="V50" s="63" t="s">
        <v>181</v>
      </c>
      <c r="W50" s="1"/>
      <c r="X50" s="25" t="s">
        <v>121</v>
      </c>
      <c r="Y50" s="22" t="s">
        <v>122</v>
      </c>
      <c r="Z50" s="23" t="str">
        <f>IF(OR(H26="A7",H26="A7-100T"),"0x01000800",IF(H26="EFX","0xF8120800","0x77601650"))</f>
        <v>0x01000800</v>
      </c>
      <c r="AA50" s="22" t="s">
        <v>123</v>
      </c>
      <c r="AB50" s="43" t="str">
        <f>"0x"&amp;DEC2HEX(IF(OR(H26="A7",H26="A7-100T",H26="EFX"),IF(I37="Ultra Short",50,U34),IF(I37="Ultra Short",54,U33)))</f>
        <v>0x28F</v>
      </c>
      <c r="AC50" s="277" t="s">
        <v>611</v>
      </c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6:45" ht="40.5">
      <c r="F51" s="236" t="s">
        <v>170</v>
      </c>
      <c r="G51" s="237"/>
      <c r="H51" s="237"/>
      <c r="I51" s="237"/>
      <c r="J51" s="238"/>
      <c r="K51" s="1"/>
      <c r="L51" s="233" t="s">
        <v>474</v>
      </c>
      <c r="M51" s="234"/>
      <c r="N51" s="234"/>
      <c r="O51" s="234"/>
      <c r="P51" s="235"/>
      <c r="Q51" s="1"/>
      <c r="R51" s="62" t="s">
        <v>241</v>
      </c>
      <c r="S51" s="57" t="s">
        <v>242</v>
      </c>
      <c r="T51" s="57" t="s">
        <v>238</v>
      </c>
      <c r="U51" s="58">
        <v>8</v>
      </c>
      <c r="V51" s="63" t="s">
        <v>181</v>
      </c>
      <c r="W51" s="1"/>
      <c r="X51" s="25" t="s">
        <v>418</v>
      </c>
      <c r="Y51" s="22" t="s">
        <v>128</v>
      </c>
      <c r="Z51" s="23" t="str">
        <f>IF(OR(H26="A7",H26="A7-100T"),"0x01000804",IF(H26="EFX","0xF8120804","0x77601654"))</f>
        <v>0x01000804</v>
      </c>
      <c r="AA51" s="22" t="s">
        <v>129</v>
      </c>
      <c r="AB51" s="43" t="str">
        <f>"0x"&amp;DEC2HEX(O40)</f>
        <v>0x0</v>
      </c>
      <c r="AC51" s="277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6:45" ht="41.1" customHeight="1">
      <c r="F52" s="22" t="s">
        <v>447</v>
      </c>
      <c r="G52" s="22" t="s">
        <v>190</v>
      </c>
      <c r="H52" s="27">
        <v>0</v>
      </c>
      <c r="I52" s="41">
        <v>0</v>
      </c>
      <c r="J52" s="42" t="s">
        <v>84</v>
      </c>
      <c r="K52" s="1"/>
      <c r="L52" s="50" t="s">
        <v>479</v>
      </c>
      <c r="M52" s="51" t="s">
        <v>474</v>
      </c>
      <c r="N52" s="52" t="s">
        <v>480</v>
      </c>
      <c r="O52" s="53">
        <f>IF((100-ROUNDDOWN(10*U72/(125000*I56),0)-1)&lt;0,0,(100-ROUNDDOWN(10*U72/(125000*I56),0)-1))</f>
        <v>99</v>
      </c>
      <c r="P52" s="54" t="s">
        <v>467</v>
      </c>
      <c r="Q52" s="1"/>
      <c r="R52" s="62" t="s">
        <v>244</v>
      </c>
      <c r="S52" s="57" t="s">
        <v>245</v>
      </c>
      <c r="T52" s="57" t="s">
        <v>246</v>
      </c>
      <c r="U52" s="58">
        <v>4</v>
      </c>
      <c r="V52" s="63" t="s">
        <v>181</v>
      </c>
      <c r="W52" s="1"/>
      <c r="X52" s="69" t="s">
        <v>415</v>
      </c>
      <c r="Y52" s="81" t="s">
        <v>138</v>
      </c>
      <c r="Z52" s="82" t="str">
        <f>IF(OR(H26="A7",H26="A7-100T"),"0x01000808",IF(H26="EFX","0xF8120808","0x77601658"))</f>
        <v>0x01000808</v>
      </c>
      <c r="AA52" s="81" t="s">
        <v>139</v>
      </c>
      <c r="AB52" s="81" t="str">
        <f>"0x"&amp;DEC2HEX(O39)</f>
        <v>0x2FC</v>
      </c>
      <c r="AC52" s="277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6:45" ht="108">
      <c r="F53" s="286" t="s">
        <v>612</v>
      </c>
      <c r="G53" s="287"/>
      <c r="H53" s="287"/>
      <c r="I53" s="287"/>
      <c r="J53" s="288"/>
      <c r="K53" s="1"/>
      <c r="L53" s="233" t="s">
        <v>613</v>
      </c>
      <c r="M53" s="234"/>
      <c r="N53" s="234"/>
      <c r="O53" s="234"/>
      <c r="P53" s="235"/>
      <c r="Q53" s="1"/>
      <c r="R53" s="62" t="s">
        <v>249</v>
      </c>
      <c r="S53" s="57" t="s">
        <v>250</v>
      </c>
      <c r="T53" s="57" t="s">
        <v>251</v>
      </c>
      <c r="U53" s="58">
        <v>12</v>
      </c>
      <c r="V53" s="63" t="s">
        <v>181</v>
      </c>
      <c r="W53" s="1"/>
      <c r="X53" s="70" t="s">
        <v>614</v>
      </c>
      <c r="Y53" s="22" t="s">
        <v>615</v>
      </c>
      <c r="Z53" s="23" t="s">
        <v>616</v>
      </c>
      <c r="AA53" s="22" t="s">
        <v>617</v>
      </c>
      <c r="AB53" s="43">
        <f>IF(I35="TriggerWidth",1,0)</f>
        <v>0</v>
      </c>
      <c r="AC53" s="277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6:45" ht="54" customHeight="1">
      <c r="F54" s="28" t="s">
        <v>618</v>
      </c>
      <c r="G54" s="29" t="s">
        <v>619</v>
      </c>
      <c r="H54" s="30">
        <v>0</v>
      </c>
      <c r="I54" s="55">
        <v>0</v>
      </c>
      <c r="J54" s="56" t="s">
        <v>84</v>
      </c>
      <c r="K54" s="1"/>
      <c r="L54" s="57" t="s">
        <v>620</v>
      </c>
      <c r="M54" s="57" t="s">
        <v>621</v>
      </c>
      <c r="N54" s="57" t="s">
        <v>622</v>
      </c>
      <c r="O54" s="58">
        <f>MAX(INT(1000*I36/O30),1)</f>
        <v>152</v>
      </c>
      <c r="P54" s="57" t="s">
        <v>108</v>
      </c>
      <c r="Q54" s="1"/>
      <c r="R54" s="62" t="s">
        <v>254</v>
      </c>
      <c r="S54" s="22" t="s">
        <v>255</v>
      </c>
      <c r="T54" s="57" t="s">
        <v>256</v>
      </c>
      <c r="U54" s="58">
        <f>U49+U50+U51</f>
        <v>36</v>
      </c>
      <c r="V54" s="63" t="s">
        <v>181</v>
      </c>
      <c r="W54" s="1"/>
      <c r="X54" s="70" t="s">
        <v>623</v>
      </c>
      <c r="Y54" s="22" t="s">
        <v>624</v>
      </c>
      <c r="Z54" s="23" t="s">
        <v>625</v>
      </c>
      <c r="AA54" s="22" t="s">
        <v>626</v>
      </c>
      <c r="AB54" s="43" t="str">
        <f>"0x"&amp;DEC2HEX(O54)</f>
        <v>0x98</v>
      </c>
      <c r="AC54" s="277"/>
      <c r="AD54" s="1"/>
      <c r="AE54" s="31"/>
      <c r="AF54" s="31"/>
      <c r="AG54" s="31"/>
      <c r="AH54" s="31"/>
      <c r="AI54" s="3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6:45" ht="95.1" customHeight="1">
      <c r="F55" s="234" t="s">
        <v>448</v>
      </c>
      <c r="G55" s="234"/>
      <c r="H55" s="234"/>
      <c r="I55" s="234"/>
      <c r="J55" s="235"/>
      <c r="K55" s="1"/>
      <c r="L55" s="57" t="s">
        <v>627</v>
      </c>
      <c r="M55" s="57" t="s">
        <v>628</v>
      </c>
      <c r="N55" s="57" t="s">
        <v>629</v>
      </c>
      <c r="O55" s="58" t="str">
        <f>IF((I42=1)*(I35="TriggerWidth"),O34+IF(ROUNDUP((1000*I40/O30),0)&gt;O54,ROUNDUP((1000*I40/O30),0)-O54,0),"null")</f>
        <v>null</v>
      </c>
      <c r="P55" s="57" t="s">
        <v>108</v>
      </c>
      <c r="Q55" s="1"/>
      <c r="R55" s="62" t="s">
        <v>257</v>
      </c>
      <c r="S55" s="22" t="s">
        <v>258</v>
      </c>
      <c r="T55" s="57" t="s">
        <v>259</v>
      </c>
      <c r="U55" s="58">
        <f>U46+U47+U48+U52</f>
        <v>26</v>
      </c>
      <c r="V55" s="63" t="s">
        <v>181</v>
      </c>
      <c r="W55" s="1"/>
      <c r="X55" s="71" t="s">
        <v>630</v>
      </c>
      <c r="Y55" s="81" t="s">
        <v>631</v>
      </c>
      <c r="Z55" s="81" t="str">
        <f>IF(OR(H26="A7",H26="A7-100T"),"0x0100080c",IF(H26="EFX","0xF812080c","0x7760165c"))</f>
        <v>0x0100080c</v>
      </c>
      <c r="AA55" s="81" t="s">
        <v>150</v>
      </c>
      <c r="AB55" s="81" t="str">
        <f>"0x"&amp;DEC2HEX(MAX(O34,O35,O36,O37))</f>
        <v>0x424</v>
      </c>
      <c r="AC55" s="277"/>
      <c r="AD55" s="1"/>
      <c r="AE55" s="31"/>
      <c r="AF55" s="31"/>
      <c r="AG55" s="31"/>
      <c r="AH55" s="31"/>
      <c r="AI55" s="3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6:45" ht="105.95" customHeight="1">
      <c r="F56" s="22" t="s">
        <v>328</v>
      </c>
      <c r="G56" s="22" t="s">
        <v>452</v>
      </c>
      <c r="H56" s="27" t="s">
        <v>84</v>
      </c>
      <c r="I56" s="41">
        <f>B19</f>
        <v>1000</v>
      </c>
      <c r="J56" s="42" t="s">
        <v>453</v>
      </c>
      <c r="K56" s="1"/>
      <c r="L56" s="57" t="s">
        <v>632</v>
      </c>
      <c r="M56" s="57" t="s">
        <v>633</v>
      </c>
      <c r="N56" s="57" t="s">
        <v>634</v>
      </c>
      <c r="O56" s="58" t="str">
        <f>IF((I42=1)*(I35="TriggerWidth"),IF(I40&gt;I36,(ROUNDUP((1000*I40/O30),0)*O30+U37)/1000,(ROUNDUP((1000*I36/O30),0)*O30+U37)/1000),"null")</f>
        <v>null</v>
      </c>
      <c r="P56" s="57" t="s">
        <v>81</v>
      </c>
      <c r="Q56" s="1"/>
      <c r="R56" s="62" t="s">
        <v>260</v>
      </c>
      <c r="S56" s="57" t="s">
        <v>261</v>
      </c>
      <c r="T56" s="57" t="s">
        <v>262</v>
      </c>
      <c r="U56" s="58">
        <f>64-U48-U52-U54</f>
        <v>10</v>
      </c>
      <c r="V56" s="63" t="s">
        <v>181</v>
      </c>
      <c r="W56" s="1"/>
      <c r="X56" s="71" t="s">
        <v>635</v>
      </c>
      <c r="Y56" s="81" t="s">
        <v>636</v>
      </c>
      <c r="Z56" s="81" t="str">
        <f>IF(OR(H26="A7",H26="A7-100T"),"0x01000848",IF(H26="EFX","0xF8120848","0x77601850"))</f>
        <v>0x01000848</v>
      </c>
      <c r="AA56" s="81" t="s">
        <v>150</v>
      </c>
      <c r="AB56" s="81" t="str">
        <f>"0x"&amp;IF(I43="HighSpeed",IF(I35="TriggerWidth",DEC2HEX(MAX(O34,IF(I54=1,0,O36))),DEC2HEX(MAX(O34,O35,IF(I54=1,0,O36)))),IF(I35="TriggerWidth",DEC2HEX(MAX(O34,IF(I54=1,0,O36),U76)),DEC2HEX(MAX(O34,O35,IF(I54=1,0,O36),U76))))</f>
        <v>0x424</v>
      </c>
      <c r="AC56" s="277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6:45" ht="108">
      <c r="F57" s="22" t="s">
        <v>457</v>
      </c>
      <c r="G57" s="22" t="s">
        <v>32</v>
      </c>
      <c r="H57" s="27">
        <v>1500</v>
      </c>
      <c r="I57" s="41">
        <f t="shared" ref="I57:I61" si="0">B14</f>
        <v>1500</v>
      </c>
      <c r="J57" s="42" t="s">
        <v>181</v>
      </c>
      <c r="K57" s="1"/>
      <c r="L57" s="1"/>
      <c r="M57" s="1"/>
      <c r="N57" s="1"/>
      <c r="O57" s="1"/>
      <c r="P57" s="1"/>
      <c r="Q57" s="1"/>
      <c r="R57" s="233" t="s">
        <v>263</v>
      </c>
      <c r="S57" s="234"/>
      <c r="T57" s="234"/>
      <c r="U57" s="234"/>
      <c r="V57" s="235"/>
      <c r="W57" s="1"/>
      <c r="X57" s="71" t="s">
        <v>637</v>
      </c>
      <c r="Y57" s="81" t="s">
        <v>638</v>
      </c>
      <c r="Z57" s="81" t="str">
        <f>IF(OR(H26="A7",H26="A7-100T"),"0x01000844",IF(H26="EFX","0xF8120844","-"))</f>
        <v>0x01000844</v>
      </c>
      <c r="AA57" s="81" t="s">
        <v>150</v>
      </c>
      <c r="AB57" s="81" t="str">
        <f>"0x"&amp;DEC2HEX(MAX(O34,O35))</f>
        <v>0x424</v>
      </c>
      <c r="AC57" s="277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6:45" ht="67.5">
      <c r="F58" s="22" t="str">
        <f>"流通道包间隔(不包括12B最小值的部分) 
范围:0-"&amp;O50</f>
        <v>流通道包间隔(不包括12B最小值的部分) 
范围:0-180000</v>
      </c>
      <c r="G58" s="22" t="s">
        <v>33</v>
      </c>
      <c r="H58" s="27">
        <v>0</v>
      </c>
      <c r="I58" s="41">
        <f t="shared" si="0"/>
        <v>0</v>
      </c>
      <c r="J58" s="42" t="s">
        <v>639</v>
      </c>
      <c r="K58" s="1"/>
      <c r="L58" s="1"/>
      <c r="M58" s="1"/>
      <c r="N58" s="1"/>
      <c r="O58" s="1"/>
      <c r="P58" s="1"/>
      <c r="Q58" s="1"/>
      <c r="R58" s="32" t="s">
        <v>48</v>
      </c>
      <c r="S58" s="20" t="s">
        <v>49</v>
      </c>
      <c r="T58" s="20" t="s">
        <v>50</v>
      </c>
      <c r="U58" s="20" t="s">
        <v>61</v>
      </c>
      <c r="V58" s="60" t="s">
        <v>52</v>
      </c>
      <c r="W58" s="1"/>
      <c r="X58" s="72" t="s">
        <v>156</v>
      </c>
      <c r="Y58" s="22" t="s">
        <v>640</v>
      </c>
      <c r="Z58" s="23" t="str">
        <f>IF(OR(H26="A7",H26="A7-100T"),"0x01100000",IF(H26="EFX","0xF8140000","0x77601500"))</f>
        <v>0x01100000</v>
      </c>
      <c r="AA58" s="22" t="s">
        <v>495</v>
      </c>
      <c r="AB58" s="43" t="s">
        <v>496</v>
      </c>
      <c r="AC58" s="277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6:45" ht="42" customHeight="1">
      <c r="F59" s="22" t="str">
        <f>"预留带宽 
范围:0-"&amp;O52</f>
        <v>预留带宽 
范围:0-99</v>
      </c>
      <c r="G59" s="22" t="s">
        <v>38</v>
      </c>
      <c r="H59" s="27">
        <v>10</v>
      </c>
      <c r="I59" s="41">
        <f>B20</f>
        <v>10</v>
      </c>
      <c r="J59" s="42" t="s">
        <v>467</v>
      </c>
      <c r="K59" s="1"/>
      <c r="L59" s="1"/>
      <c r="M59" s="1"/>
      <c r="N59" s="1"/>
      <c r="O59" s="1"/>
      <c r="P59" s="1"/>
      <c r="Q59" s="1"/>
      <c r="R59" s="62" t="s">
        <v>499</v>
      </c>
      <c r="S59" s="22" t="s">
        <v>500</v>
      </c>
      <c r="T59" s="57" t="s">
        <v>265</v>
      </c>
      <c r="U59" s="58">
        <f>36</f>
        <v>36</v>
      </c>
      <c r="V59" s="63" t="s">
        <v>181</v>
      </c>
      <c r="W59" s="1"/>
      <c r="X59" s="72" t="s">
        <v>641</v>
      </c>
      <c r="Y59" s="22" t="s">
        <v>642</v>
      </c>
      <c r="Z59" s="23" t="str">
        <f>IF(OR(H26="A7",H26="A7-100T"),"0x010007f8",IF(H26="EFX","0xF81207f8","0x77601854"))</f>
        <v>0x010007f8</v>
      </c>
      <c r="AA59" s="22" t="s">
        <v>643</v>
      </c>
      <c r="AB59" s="43" t="str">
        <f>"0x"&amp;(IF(I37="Ultra Short",0,1))</f>
        <v>0x1</v>
      </c>
      <c r="AC59" s="80" t="s">
        <v>644</v>
      </c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6:45" ht="39" customHeight="1">
      <c r="F60" s="234" t="s">
        <v>243</v>
      </c>
      <c r="G60" s="234"/>
      <c r="H60" s="234"/>
      <c r="I60" s="234"/>
      <c r="J60" s="235"/>
      <c r="K60" s="1"/>
      <c r="L60" s="1"/>
      <c r="M60" s="1"/>
      <c r="N60" s="1"/>
      <c r="O60" s="1"/>
      <c r="P60" s="1"/>
      <c r="Q60" s="1"/>
      <c r="R60" s="62" t="s">
        <v>505</v>
      </c>
      <c r="S60" s="22" t="s">
        <v>506</v>
      </c>
      <c r="T60" s="57" t="s">
        <v>267</v>
      </c>
      <c r="U60" s="58">
        <v>10</v>
      </c>
      <c r="V60" s="63" t="s">
        <v>181</v>
      </c>
      <c r="W60" s="1"/>
      <c r="X60" s="72" t="s">
        <v>645</v>
      </c>
      <c r="Y60" s="22" t="s">
        <v>646</v>
      </c>
      <c r="Z60" s="23" t="str">
        <f>IF(OR(H26="A7",H26="A7-100T"),"0x010007fc",IF(H26="EFX","0xF81207fc","0x77601858"))</f>
        <v>0x010007fc</v>
      </c>
      <c r="AA60" s="22" t="s">
        <v>643</v>
      </c>
      <c r="AB60" s="43" t="str">
        <f>"0x"&amp;(IF(I37="Ultra Short",0,1))</f>
        <v>0x1</v>
      </c>
      <c r="AC60" s="80" t="s">
        <v>647</v>
      </c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6:45" ht="121.5">
      <c r="F61" s="22" t="s">
        <v>478</v>
      </c>
      <c r="G61" s="22" t="s">
        <v>247</v>
      </c>
      <c r="H61" s="22">
        <v>0</v>
      </c>
      <c r="I61" s="41">
        <f t="shared" si="0"/>
        <v>0</v>
      </c>
      <c r="J61" s="42" t="s">
        <v>84</v>
      </c>
      <c r="K61" s="1"/>
      <c r="L61" s="1"/>
      <c r="M61" s="1"/>
      <c r="N61" s="1"/>
      <c r="O61" s="1"/>
      <c r="P61" s="1"/>
      <c r="Q61" s="1"/>
      <c r="R61" s="66" t="s">
        <v>648</v>
      </c>
      <c r="S61" s="23" t="s">
        <v>649</v>
      </c>
      <c r="T61" s="23" t="s">
        <v>650</v>
      </c>
      <c r="U61" s="44">
        <v>48</v>
      </c>
      <c r="V61" s="67" t="s">
        <v>181</v>
      </c>
      <c r="W61" s="1"/>
      <c r="X61" s="72" t="s">
        <v>199</v>
      </c>
      <c r="Y61" s="22" t="s">
        <v>651</v>
      </c>
      <c r="Z61" s="23" t="str">
        <f>IF(OR(H26="A7",H26="A7-100T"),"0x0100084c",IF(H26="EFX","0xF812084c","0x7760185C"))</f>
        <v>0x0100084c</v>
      </c>
      <c r="AA61" s="22" t="s">
        <v>652</v>
      </c>
      <c r="AB61" s="43" t="str">
        <f>"0x"&amp;DEC2HEX(O34)</f>
        <v>0x424</v>
      </c>
      <c r="AC61" s="80" t="s">
        <v>653</v>
      </c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6:45" ht="108">
      <c r="F62" s="22" t="s">
        <v>243</v>
      </c>
      <c r="G62" s="22" t="s">
        <v>252</v>
      </c>
      <c r="H62" s="22">
        <f>VLOOKUP($H$27,$X$29:$AQ$45,19,FALSE)</f>
        <v>49</v>
      </c>
      <c r="I62" s="41">
        <f>B17</f>
        <v>94.5</v>
      </c>
      <c r="J62" s="42" t="s">
        <v>89</v>
      </c>
      <c r="K62" s="1"/>
      <c r="L62" s="1"/>
      <c r="M62" s="1"/>
      <c r="N62" s="1"/>
      <c r="O62" s="1"/>
      <c r="P62" s="1"/>
      <c r="Q62" s="1"/>
      <c r="R62" s="25" t="s">
        <v>195</v>
      </c>
      <c r="S62" s="22" t="s">
        <v>508</v>
      </c>
      <c r="T62" s="22" t="s">
        <v>654</v>
      </c>
      <c r="U62" s="43">
        <f>ROUNDDOWN(I49*I50*IF(I31=8,1,IF(OR(I31="10p",I31="12p"),1.5,2)),0)</f>
        <v>1310720</v>
      </c>
      <c r="V62" s="63" t="s">
        <v>181</v>
      </c>
      <c r="W62" s="1"/>
      <c r="X62" s="72" t="s">
        <v>655</v>
      </c>
      <c r="Y62" s="22" t="s">
        <v>656</v>
      </c>
      <c r="Z62" s="23" t="str">
        <f>IF(OR(H26="A7",H26="A7-100T"),"0x01200100",IF(H26="EFX","0xF8160100","0x7760144c"))</f>
        <v>0x01200100</v>
      </c>
      <c r="AA62" s="22" t="s">
        <v>657</v>
      </c>
      <c r="AB62" s="43" t="str">
        <f>"0x"&amp;DEC2HEX(I57-U54)</f>
        <v>0x5B8</v>
      </c>
      <c r="AC62" s="80" t="s">
        <v>658</v>
      </c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6:45" ht="54">
      <c r="F63" s="278" t="s">
        <v>659</v>
      </c>
      <c r="G63" s="278"/>
      <c r="H63" s="278"/>
      <c r="I63" s="278"/>
      <c r="J63" s="279"/>
      <c r="K63" s="276" t="s">
        <v>660</v>
      </c>
      <c r="L63" s="1"/>
      <c r="M63" s="1"/>
      <c r="N63" s="1"/>
      <c r="O63" s="1"/>
      <c r="P63" s="1"/>
      <c r="Q63" s="1"/>
      <c r="R63" s="62" t="s">
        <v>269</v>
      </c>
      <c r="S63" s="22" t="s">
        <v>510</v>
      </c>
      <c r="T63" s="22" t="s">
        <v>511</v>
      </c>
      <c r="U63" s="44">
        <f>U62+U61*I52</f>
        <v>1310720</v>
      </c>
      <c r="V63" s="63" t="s">
        <v>181</v>
      </c>
      <c r="W63" s="1"/>
      <c r="X63" s="72" t="s">
        <v>661</v>
      </c>
      <c r="Y63" s="22" t="s">
        <v>662</v>
      </c>
      <c r="Z63" s="23" t="str">
        <f>IF(OR(H26="A7",H26="A7-100T"),"0x01400080",IF(H26="EFX","0xF81A0080","0x776014c0"))</f>
        <v>0x01400080</v>
      </c>
      <c r="AA63" s="22" t="s">
        <v>663</v>
      </c>
      <c r="AB63" s="43" t="str">
        <f>"0x"&amp;DEC2HEX(IF(H26="EFX",ROUNDUP(I58*50/125,0),I58))</f>
        <v>0x0</v>
      </c>
      <c r="AC63" s="80" t="s">
        <v>664</v>
      </c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6:45" ht="51" customHeight="1">
      <c r="F64" s="22" t="s">
        <v>665</v>
      </c>
      <c r="G64" s="22" t="s">
        <v>525</v>
      </c>
      <c r="H64" s="22">
        <v>1</v>
      </c>
      <c r="I64" s="41">
        <f>B8</f>
        <v>1</v>
      </c>
      <c r="J64" s="42" t="s">
        <v>84</v>
      </c>
      <c r="K64" s="276"/>
      <c r="L64" s="1"/>
      <c r="M64" s="1"/>
      <c r="N64" s="1"/>
      <c r="O64" s="1"/>
      <c r="P64" s="1"/>
      <c r="Q64" s="1"/>
      <c r="R64" s="62" t="s">
        <v>272</v>
      </c>
      <c r="S64" s="22" t="s">
        <v>273</v>
      </c>
      <c r="T64" s="57" t="s">
        <v>274</v>
      </c>
      <c r="U64" s="73">
        <f>INT(U63/(I57-U54))</f>
        <v>895</v>
      </c>
      <c r="V64" s="63"/>
      <c r="W64" s="1"/>
      <c r="X64" s="70" t="s">
        <v>501</v>
      </c>
      <c r="Y64" s="23" t="s">
        <v>503</v>
      </c>
      <c r="Z64" s="23" t="str">
        <f>IF(OR(H26="A7",H26="A7-100T"),"0x01100010",IF(H26="EFX","0xF8140010","0x7760147c"))</f>
        <v>0x01100010</v>
      </c>
      <c r="AA64" s="23" t="s">
        <v>666</v>
      </c>
      <c r="AB64" s="44" t="str">
        <f>"0x"&amp;DEC2HEX(ROUNDUP((O30-U40/U41*1000000/U42)/(1000000/U42),0))</f>
        <v>0x2BC</v>
      </c>
      <c r="AC64" s="83" t="s">
        <v>667</v>
      </c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6:45" ht="47.1" customHeight="1">
      <c r="F65" s="52" t="s">
        <v>668</v>
      </c>
      <c r="G65" s="52" t="s">
        <v>526</v>
      </c>
      <c r="H65" s="52">
        <v>1</v>
      </c>
      <c r="I65" s="93">
        <f>B9</f>
        <v>1</v>
      </c>
      <c r="J65" s="89" t="s">
        <v>84</v>
      </c>
      <c r="K65" s="1"/>
      <c r="L65" s="1"/>
      <c r="M65" s="1"/>
      <c r="N65" s="1"/>
      <c r="O65" s="1"/>
      <c r="P65" s="1"/>
      <c r="Q65" s="1"/>
      <c r="R65" s="62" t="s">
        <v>275</v>
      </c>
      <c r="S65" s="22" t="s">
        <v>512</v>
      </c>
      <c r="T65" s="57" t="s">
        <v>277</v>
      </c>
      <c r="U65" s="73">
        <f>U63-(I57-U54)*U64</f>
        <v>440</v>
      </c>
      <c r="V65" s="63" t="s">
        <v>181</v>
      </c>
      <c r="W65" s="1"/>
      <c r="X65" s="98" t="s">
        <v>669</v>
      </c>
      <c r="Y65" s="105" t="s">
        <v>670</v>
      </c>
      <c r="Z65" s="106" t="s">
        <v>671</v>
      </c>
      <c r="AA65" s="91" t="s">
        <v>672</v>
      </c>
      <c r="AB65" s="107" t="str">
        <f>"0x"&amp;DEC2HEX(U40)</f>
        <v>0x570</v>
      </c>
      <c r="AC65" s="108" t="s">
        <v>673</v>
      </c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6:45" ht="63.95" customHeight="1">
      <c r="F66" s="280" t="s">
        <v>674</v>
      </c>
      <c r="G66" s="281"/>
      <c r="H66" s="281"/>
      <c r="I66" s="281"/>
      <c r="J66" s="282"/>
      <c r="K66" s="1"/>
      <c r="L66" s="1"/>
      <c r="M66" s="1"/>
      <c r="N66" s="1"/>
      <c r="O66" s="1"/>
      <c r="P66" s="1"/>
      <c r="Q66" s="1"/>
      <c r="R66" s="62" t="s">
        <v>278</v>
      </c>
      <c r="S66" s="22" t="s">
        <v>279</v>
      </c>
      <c r="T66" s="57" t="s">
        <v>280</v>
      </c>
      <c r="U66" s="58">
        <f>IF(MOD(U62,(I57-U54))=0,0,1)</f>
        <v>1</v>
      </c>
      <c r="V66" s="63"/>
      <c r="W66" s="1"/>
      <c r="X66" s="98" t="s">
        <v>675</v>
      </c>
      <c r="Y66" s="105" t="s">
        <v>676</v>
      </c>
      <c r="Z66" s="106" t="s">
        <v>677</v>
      </c>
      <c r="AA66" s="91" t="s">
        <v>678</v>
      </c>
      <c r="AB66" s="107" t="str">
        <f>"0x"&amp;DEC2HEX(IF(I43="Standard",0,1))</f>
        <v>0x0</v>
      </c>
      <c r="AC66" s="108" t="s">
        <v>679</v>
      </c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6:45" ht="67.5">
      <c r="F67" s="62" t="s">
        <v>680</v>
      </c>
      <c r="G67" s="57" t="s">
        <v>681</v>
      </c>
      <c r="H67" s="57">
        <v>1</v>
      </c>
      <c r="I67" s="94">
        <f>B6</f>
        <v>1</v>
      </c>
      <c r="J67" s="95" t="s">
        <v>84</v>
      </c>
      <c r="K67" s="1"/>
      <c r="L67" s="1"/>
      <c r="M67" s="1"/>
      <c r="N67" s="1"/>
      <c r="O67" s="1"/>
      <c r="P67" s="1"/>
      <c r="Q67" s="1"/>
      <c r="R67" s="62" t="s">
        <v>281</v>
      </c>
      <c r="S67" s="22" t="s">
        <v>514</v>
      </c>
      <c r="T67" s="57" t="s">
        <v>283</v>
      </c>
      <c r="U67" s="73">
        <f>IF(U65&lt;U56,U56,U65)</f>
        <v>440</v>
      </c>
      <c r="V67" s="63" t="s">
        <v>181</v>
      </c>
      <c r="W67" s="1"/>
      <c r="X67" s="68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6:45" ht="81">
      <c r="F68" s="90" t="s">
        <v>682</v>
      </c>
      <c r="G68" s="91" t="s">
        <v>683</v>
      </c>
      <c r="H68" s="91">
        <v>1</v>
      </c>
      <c r="I68" s="96">
        <f>B7</f>
        <v>1</v>
      </c>
      <c r="J68" s="97" t="s">
        <v>84</v>
      </c>
      <c r="K68" s="1"/>
      <c r="L68" s="1"/>
      <c r="M68" s="1"/>
      <c r="N68" s="1"/>
      <c r="O68" s="1"/>
      <c r="P68" s="1"/>
      <c r="Q68" s="1"/>
      <c r="R68" s="62" t="s">
        <v>284</v>
      </c>
      <c r="S68" s="22" t="s">
        <v>515</v>
      </c>
      <c r="T68" s="57" t="s">
        <v>286</v>
      </c>
      <c r="U68" s="73">
        <f>U55+U54+U59</f>
        <v>98</v>
      </c>
      <c r="V68" s="63" t="s">
        <v>181</v>
      </c>
      <c r="W68" s="1"/>
      <c r="X68" s="68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6:45" ht="94.5">
      <c r="F69" s="283" t="s">
        <v>357</v>
      </c>
      <c r="G69" s="284"/>
      <c r="H69" s="284"/>
      <c r="I69" s="284"/>
      <c r="J69" s="285"/>
      <c r="K69" s="1"/>
      <c r="L69" s="1"/>
      <c r="M69" s="1"/>
      <c r="N69" s="1"/>
      <c r="O69" s="1"/>
      <c r="P69" s="1"/>
      <c r="Q69" s="1"/>
      <c r="R69" s="62" t="s">
        <v>287</v>
      </c>
      <c r="S69" s="22" t="s">
        <v>516</v>
      </c>
      <c r="T69" s="57" t="s">
        <v>517</v>
      </c>
      <c r="U69" s="73">
        <f>U55+U54+U60</f>
        <v>72</v>
      </c>
      <c r="V69" s="63" t="s">
        <v>181</v>
      </c>
      <c r="W69" s="1"/>
      <c r="X69" s="68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6:45" ht="94.5">
      <c r="F70" s="92" t="s">
        <v>60</v>
      </c>
      <c r="G70" s="273" t="s">
        <v>507</v>
      </c>
      <c r="H70" s="273"/>
      <c r="I70" s="274">
        <f>O32</f>
        <v>72.03572972194209</v>
      </c>
      <c r="J70" s="275"/>
      <c r="K70" s="1"/>
      <c r="L70" s="1"/>
      <c r="M70" s="1"/>
      <c r="N70" s="1"/>
      <c r="O70" s="1"/>
      <c r="P70" s="1"/>
      <c r="Q70" s="1"/>
      <c r="R70" s="62" t="s">
        <v>289</v>
      </c>
      <c r="S70" s="22" t="s">
        <v>518</v>
      </c>
      <c r="T70" s="57" t="s">
        <v>519</v>
      </c>
      <c r="U70" s="73">
        <f>U64*(I57+U55)+U66*(U67+U55+U54)</f>
        <v>1366272</v>
      </c>
      <c r="V70" s="63" t="s">
        <v>181</v>
      </c>
      <c r="W70" s="1"/>
      <c r="X70" s="68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6:45" ht="162">
      <c r="F71" s="1"/>
      <c r="G71" s="1"/>
      <c r="H71" s="1"/>
      <c r="I71" s="31"/>
      <c r="J71" s="31"/>
      <c r="K71" s="1"/>
      <c r="L71" s="1"/>
      <c r="M71" s="1"/>
      <c r="N71" s="1"/>
      <c r="O71" s="1"/>
      <c r="P71" s="1"/>
      <c r="Q71" s="1"/>
      <c r="R71" s="25" t="s">
        <v>292</v>
      </c>
      <c r="S71" s="22" t="s">
        <v>520</v>
      </c>
      <c r="T71" s="22" t="s">
        <v>521</v>
      </c>
      <c r="U71" s="99">
        <f>(2+U66+U64)*(U53+I58)</f>
        <v>10776</v>
      </c>
      <c r="V71" s="40" t="s">
        <v>181</v>
      </c>
      <c r="W71" s="1"/>
      <c r="X71" s="68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6:45" ht="67.5">
      <c r="F72" s="1"/>
      <c r="G72" s="1"/>
      <c r="H72" s="1"/>
      <c r="I72" s="31"/>
      <c r="J72" s="31"/>
      <c r="K72" s="1"/>
      <c r="L72" s="1"/>
      <c r="M72" s="1"/>
      <c r="N72" s="1"/>
      <c r="O72" s="1"/>
      <c r="P72" s="1"/>
      <c r="Q72" s="1"/>
      <c r="R72" s="25" t="s">
        <v>202</v>
      </c>
      <c r="S72" s="22" t="s">
        <v>522</v>
      </c>
      <c r="T72" s="22" t="s">
        <v>296</v>
      </c>
      <c r="U72" s="43">
        <f>U68+U69+U70+U71</f>
        <v>1377218</v>
      </c>
      <c r="V72" s="40" t="s">
        <v>181</v>
      </c>
      <c r="W72" s="1"/>
      <c r="X72" s="68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6:45" ht="40.5">
      <c r="F73" s="31"/>
      <c r="G73" s="31"/>
      <c r="H73" s="31"/>
      <c r="I73" s="31"/>
      <c r="J73" s="31"/>
      <c r="K73" s="1"/>
      <c r="L73" s="1"/>
      <c r="M73" s="1"/>
      <c r="N73" s="1"/>
      <c r="O73" s="1"/>
      <c r="P73" s="1"/>
      <c r="Q73" s="1"/>
      <c r="R73" s="25" t="s">
        <v>297</v>
      </c>
      <c r="S73" s="22" t="s">
        <v>298</v>
      </c>
      <c r="T73" s="22" t="s">
        <v>299</v>
      </c>
      <c r="U73" s="43">
        <f>INT(1000000*I56*(100-I59)/80)</f>
        <v>1125000000</v>
      </c>
      <c r="V73" s="40" t="s">
        <v>523</v>
      </c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6:45" ht="54">
      <c r="F74" s="31"/>
      <c r="G74" s="31"/>
      <c r="H74" s="31"/>
      <c r="I74" s="31"/>
      <c r="J74" s="31"/>
      <c r="K74" s="1"/>
      <c r="L74" s="1"/>
      <c r="M74" s="1"/>
      <c r="N74" s="1"/>
      <c r="O74" s="1"/>
      <c r="P74" s="1"/>
      <c r="Q74" s="1"/>
      <c r="R74" s="25" t="s">
        <v>301</v>
      </c>
      <c r="S74" s="22" t="s">
        <v>302</v>
      </c>
      <c r="T74" s="22" t="s">
        <v>684</v>
      </c>
      <c r="U74" s="43">
        <f>IF(I37="Ultra Short",ROUNDUP(U72*1000000/U73,0)*10,ROUNDUP(ROUNDUP(U72*1000000000/U73,0)*10/O30,0))</f>
        <v>935</v>
      </c>
      <c r="V74" s="42" t="str">
        <f>IF(I37="Ultra Short","us","line")</f>
        <v>line</v>
      </c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6:45" ht="121.5"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00" t="s">
        <v>685</v>
      </c>
      <c r="S75" s="101" t="s">
        <v>686</v>
      </c>
      <c r="T75" s="101" t="s">
        <v>687</v>
      </c>
      <c r="U75" s="102">
        <f>INT(1000000*I56*(100)/80)</f>
        <v>1250000000</v>
      </c>
      <c r="V75" s="103" t="s">
        <v>523</v>
      </c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6:45" ht="135"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04" t="s">
        <v>688</v>
      </c>
      <c r="S76" s="52" t="s">
        <v>689</v>
      </c>
      <c r="T76" s="52" t="s">
        <v>684</v>
      </c>
      <c r="U76" s="53">
        <f>IF(I37="Ultra Short",ROUNDUP(U72*1000000/U75,0)*10,ROUNDUP(ROUNDUP(U72*1000000000/U75,0)*10/O30,0))</f>
        <v>842</v>
      </c>
      <c r="V76" s="89" t="str">
        <f>IF(I29="Ultra Short","us","line")</f>
        <v>line</v>
      </c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6:45"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6:45"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31"/>
      <c r="S78" s="31"/>
      <c r="T78" s="31"/>
      <c r="U78" s="31"/>
      <c r="V78" s="3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6:45"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31"/>
      <c r="S79" s="31"/>
      <c r="T79" s="31"/>
      <c r="U79" s="31"/>
      <c r="V79" s="3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6:45"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31"/>
      <c r="S80" s="31"/>
      <c r="T80" s="31"/>
      <c r="U80" s="31"/>
      <c r="V80" s="3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6:45"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31"/>
      <c r="S81" s="31"/>
      <c r="T81" s="31"/>
      <c r="U81" s="31"/>
      <c r="V81" s="3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6:45"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31"/>
      <c r="S82" s="31"/>
      <c r="T82" s="31"/>
      <c r="U82" s="31"/>
      <c r="V82" s="3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6:45"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31"/>
      <c r="S83" s="31"/>
      <c r="T83" s="31"/>
      <c r="U83" s="31"/>
      <c r="V83" s="3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6:45"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31"/>
      <c r="S84" s="31"/>
      <c r="T84" s="31"/>
      <c r="U84" s="31"/>
      <c r="V84" s="3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6:45"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31"/>
      <c r="S85" s="31"/>
      <c r="T85" s="31"/>
      <c r="U85" s="31"/>
      <c r="V85" s="3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6:45"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31"/>
      <c r="S86" s="31"/>
      <c r="T86" s="31"/>
      <c r="U86" s="31"/>
      <c r="V86" s="3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6:45"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31"/>
      <c r="S87" s="31"/>
      <c r="T87" s="31"/>
      <c r="U87" s="31"/>
      <c r="V87" s="3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6:45"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31"/>
      <c r="S88" s="31"/>
      <c r="T88" s="31"/>
      <c r="U88" s="31"/>
      <c r="V88" s="3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6:45"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31"/>
      <c r="S89" s="31"/>
      <c r="T89" s="31"/>
      <c r="U89" s="31"/>
      <c r="V89" s="3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6:45"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6:45"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6:45"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6:45"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6:45"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6:45"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6:45"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6:45"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6:45"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  <row r="99" spans="6:45"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</row>
    <row r="100" spans="6:45"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</row>
    <row r="101" spans="6:45"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</row>
    <row r="102" spans="6:45"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</row>
    <row r="103" spans="6:45"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</row>
    <row r="104" spans="6:45"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</row>
    <row r="105" spans="6:45"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</row>
    <row r="106" spans="6:45"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</row>
    <row r="107" spans="6:45"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</row>
    <row r="108" spans="6:45"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</row>
    <row r="109" spans="6:45"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</row>
    <row r="110" spans="6:45"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</row>
    <row r="111" spans="6:45"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</row>
    <row r="112" spans="6:45"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</row>
    <row r="113" spans="6:45"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</row>
    <row r="114" spans="6:45"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</row>
    <row r="115" spans="6:45"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</row>
    <row r="116" spans="6:45"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</row>
    <row r="117" spans="6:45"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</row>
    <row r="118" spans="6:45"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</row>
    <row r="119" spans="6:45"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</row>
    <row r="120" spans="6:45"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</row>
    <row r="121" spans="6:45"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</row>
    <row r="122" spans="6:45"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</row>
    <row r="123" spans="6:45"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</row>
  </sheetData>
  <sheetProtection password="DE11" sheet="1" objects="1" scenarios="1" selectLockedCells="1"/>
  <mergeCells count="34">
    <mergeCell ref="L27:P27"/>
    <mergeCell ref="R27:V27"/>
    <mergeCell ref="X27:AS27"/>
    <mergeCell ref="F28:J28"/>
    <mergeCell ref="R28:V28"/>
    <mergeCell ref="L29:P29"/>
    <mergeCell ref="F30:J30"/>
    <mergeCell ref="F33:J33"/>
    <mergeCell ref="L33:P33"/>
    <mergeCell ref="L38:P38"/>
    <mergeCell ref="F41:J41"/>
    <mergeCell ref="R43:V43"/>
    <mergeCell ref="F44:J44"/>
    <mergeCell ref="L44:P44"/>
    <mergeCell ref="R44:V44"/>
    <mergeCell ref="F46:J46"/>
    <mergeCell ref="X47:AC47"/>
    <mergeCell ref="L48:P48"/>
    <mergeCell ref="X48:AC48"/>
    <mergeCell ref="L49:P49"/>
    <mergeCell ref="G70:H70"/>
    <mergeCell ref="I70:J70"/>
    <mergeCell ref="K63:K64"/>
    <mergeCell ref="AC50:AC58"/>
    <mergeCell ref="R57:V57"/>
    <mergeCell ref="F60:J60"/>
    <mergeCell ref="F63:J63"/>
    <mergeCell ref="F66:J66"/>
    <mergeCell ref="F69:J69"/>
    <mergeCell ref="F51:J51"/>
    <mergeCell ref="L51:P51"/>
    <mergeCell ref="F53:J53"/>
    <mergeCell ref="L53:P53"/>
    <mergeCell ref="F55:J55"/>
  </mergeCells>
  <phoneticPr fontId="15" type="noConversion"/>
  <conditionalFormatting sqref="I31">
    <cfRule type="expression" priority="1">
      <formula>IF(I32=8,8)</formula>
    </cfRule>
  </conditionalFormatting>
  <dataValidations count="38">
    <dataValidation allowBlank="1" showErrorMessage="1" promptTitle="参数变化" prompt="该参数会根据当前生效的水平像素Binning、水平像素抽样变化" sqref="B2"/>
    <dataValidation type="list" allowBlank="1" showInputMessage="1" showErrorMessage="1" sqref="H26">
      <formula1>"S6,A7,EFX,A7-100T"</formula1>
    </dataValidation>
    <dataValidation allowBlank="1" showInputMessage="1" showErrorMessage="1" error="输入范围是64~1024，步长为2" sqref="A1:B1"/>
    <dataValidation type="list" allowBlank="1" showInputMessage="1" showErrorMessage="1" sqref="B19 I56">
      <formula1>"1000,100"</formula1>
    </dataValidation>
    <dataValidation allowBlank="1" showErrorMessage="1" promptTitle="参数变化" prompt="该参数会根据当前生效的垂直像素Binning、垂直像素抽样变化" sqref="B3"/>
    <dataValidation type="custom" allowBlank="1" showInputMessage="1" showErrorMessage="1" errorTitle="输入数值非法" error="The input range is 2 to the maximum image height, with a step size of 2." sqref="B5">
      <formula1>AND((B5&lt;=B3),(B5&gt;=2),(MOD(B5,2)=0))</formula1>
    </dataValidation>
    <dataValidation type="list" allowBlank="1" showInputMessage="1" showErrorMessage="1" errorTitle="超出范围" error="曝光时间的范围是63us-1s" sqref="I37">
      <formula1>"Standard,Ultra Short"</formula1>
    </dataValidation>
    <dataValidation type="custom" allowBlank="1" showInputMessage="1" showErrorMessage="1" errorTitle="输入数值非法" error="The input range is 4 to the maximum image width, with a step size of 4." sqref="B4">
      <formula1>AND((B4&lt;=B2),(B4&gt;=4),(MOD(B4,4)=0))</formula1>
    </dataValidation>
    <dataValidation type="custom" allowBlank="1" showInputMessage="1" showErrorMessage="1" error="The input parameter value is either 1 or 2." sqref="B6 B7 B8 B9">
      <formula1>OR((B6=1),(B6=2))</formula1>
    </dataValidation>
    <dataValidation type="list" allowBlank="1" showInputMessage="1" showErrorMessage="1" errorTitle="超出范围" error="0:关闭_x000a_1:打开" sqref="I61">
      <formula1>"0,1"</formula1>
    </dataValidation>
    <dataValidation type="whole" allowBlank="1" showInputMessage="1" showErrorMessage="1" errorTitle="超出范围" error="The range of exposure time is 13 microseconds to 15 seconds" sqref="B10">
      <formula1>13</formula1>
      <formula2>15000000</formula2>
    </dataValidation>
    <dataValidation type="list" allowBlank="1" showInputMessage="1" showErrorMessage="1" errorTitle="超出范围" error="Please enter 0 or 1." sqref="B18">
      <formula1>"0,1"</formula1>
    </dataValidation>
    <dataValidation type="whole" allowBlank="1" showInputMessage="1" showErrorMessage="1" error="The input range is [0, 5000], with the unit being microseconds (us)." sqref="B11">
      <formula1>0</formula1>
      <formula2>5000</formula2>
    </dataValidation>
    <dataValidation type="list" allowBlank="1" showInputMessage="1" showErrorMessage="1" sqref="B12">
      <formula1>"8,10,10p,12,12p"</formula1>
    </dataValidation>
    <dataValidation type="list" allowBlank="1" showInputMessage="1" showErrorMessage="1" sqref="B13 I32">
      <formula1>"8,10,12"</formula1>
    </dataValidation>
    <dataValidation type="custom" allowBlank="1" showInputMessage="1" showErrorMessage="1" error="The input range is 512 to 8192, with a step size of 4." sqref="B14">
      <formula1>AND((B14&lt;=8192),(B14&gt;=512),(MOD(B14,4)=0))</formula1>
    </dataValidation>
    <dataValidation type="custom" allowBlank="1" showInputMessage="1" showErrorMessage="1" sqref="I57">
      <formula1>AND(MOD(I57,4)=0,I57&gt;=512,I57&lt;=16384)</formula1>
    </dataValidation>
    <dataValidation type="whole" allowBlank="1" showInputMessage="1" showErrorMessage="1" error="Please set the value range from 0 to the maximum packet interval." sqref="B15">
      <formula1>0</formula1>
      <formula2>B16</formula2>
    </dataValidation>
    <dataValidation type="custom" allowBlank="1" showInputMessage="1" showErrorMessage="1" error="Please set the value range from 0.1 to 10000.0, with precision up to one decimal place." sqref="B17">
      <formula1>AND(TRUNC(B17,1)=B17,(B17&gt;=0.1),(B17&lt;=10000))</formula1>
    </dataValidation>
    <dataValidation type="whole" allowBlank="1" showInputMessage="1" showErrorMessage="1" error="Please set the range from 0 to the maximum reserved bandwidth" sqref="B20">
      <formula1>0</formula1>
      <formula2>B21</formula2>
    </dataValidation>
    <dataValidation type="list" allowBlank="1" showInputMessage="1" showErrorMessage="1" sqref="B22 I34 I52 I54">
      <formula1>"0,1"</formula1>
    </dataValidation>
    <dataValidation type="list" allowBlank="1" showInputMessage="1" showErrorMessage="1" sqref="B23">
      <formula1>"Standard,Ultra Short"</formula1>
    </dataValidation>
    <dataValidation type="list" allowBlank="1" showInputMessage="1" showErrorMessage="1" sqref="H27">
      <formula1>$X$29:$X$37</formula1>
    </dataValidation>
    <dataValidation type="list" allowBlank="1" showInputMessage="1" showErrorMessage="1" errorTitle="位深不可大于像素格式" sqref="I31">
      <formula1>"8,10,10p,12,12p"</formula1>
    </dataValidation>
    <dataValidation type="list" allowBlank="1" showInputMessage="1" showErrorMessage="1" sqref="I35">
      <formula1>"Timed,TriggerWidth"</formula1>
    </dataValidation>
    <dataValidation type="whole" operator="lessThanOrEqual" allowBlank="1" showInputMessage="1" showErrorMessage="1" errorTitle="超出范围" error="ExposureOverlapTimeMax应小于（读出时间-两次曝光间隔最小值）" sqref="I36">
      <formula1>INT((O34-U36)*O30/1000)</formula1>
    </dataValidation>
    <dataValidation type="whole" allowBlank="1" showInputMessage="1" showErrorMessage="1" errorTitle="输入数值非法" error="最小值64，最大值D13" sqref="I50">
      <formula1>8</formula1>
      <formula2>H50</formula2>
    </dataValidation>
    <dataValidation type="whole" allowBlank="1" showInputMessage="1" showErrorMessage="1" errorTitle="超出范围" error="曝光延迟的范围是0-5000us" sqref="I39">
      <formula1>0</formula1>
      <formula2>5000</formula2>
    </dataValidation>
    <dataValidation type="whole" operator="greaterThan" allowBlank="1" showInputMessage="1" showErrorMessage="1" error="触发信号长度需要大于0" sqref="I40">
      <formula1>0</formula1>
    </dataValidation>
    <dataValidation type="list" allowBlank="1" showInputMessage="1" showErrorMessage="1" errorTitle="超出范围" error="曝光时间的范围是20us-1s" sqref="I42">
      <formula1>"0,1"</formula1>
    </dataValidation>
    <dataValidation type="list" allowBlank="1" showInputMessage="1" showErrorMessage="1" errorTitle="超出范围" error="曝光时间的范围是63us-1s" prompt="突发采集模式只能在触发模式下选择" sqref="I43">
      <formula1>"Standard,HighSpeed"</formula1>
    </dataValidation>
    <dataValidation type="whole" allowBlank="1" showInputMessage="1" showErrorMessage="1" errorTitle="超出范围" error="触发延时的范围是0-3000000us" sqref="I45">
      <formula1>0</formula1>
      <formula2>3000000</formula2>
    </dataValidation>
    <dataValidation type="whole" allowBlank="1" showInputMessage="1" showErrorMessage="1" errorTitle="输入数值非法" error="最小值64，最大值D12" sqref="I49">
      <formula1>8</formula1>
      <formula2>H49</formula2>
    </dataValidation>
    <dataValidation type="whole" allowBlank="1" showInputMessage="1" showErrorMessage="1" errorTitle="设置值超出范围" error="包间隔设置值超出范围" sqref="I58">
      <formula1>0</formula1>
      <formula2>O50</formula2>
    </dataValidation>
    <dataValidation type="whole" allowBlank="1" showInputMessage="1" showErrorMessage="1" errorTitle="设置值超出范围" error="预留带宽设置值超出范围" sqref="I59">
      <formula1>0</formula1>
      <formula2>O52</formula2>
    </dataValidation>
    <dataValidation type="decimal" allowBlank="1" showInputMessage="1" showErrorMessage="1" sqref="I62">
      <formula1>0.1</formula1>
      <formula2>10000</formula2>
    </dataValidation>
    <dataValidation type="list" allowBlank="1" showInputMessage="1" showErrorMessage="1" sqref="F85">
      <formula1>$F$90:$F$93</formula1>
    </dataValidation>
    <dataValidation type="list" allowBlank="1" showInputMessage="1" showErrorMessage="1" sqref="I63:I65 I67:I68">
      <formula1>"1,2"</formula1>
    </dataValidation>
  </dataValidations>
  <pageMargins left="0.75" right="0.75" top="1" bottom="1" header="0.5" footer="0.5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AY89"/>
  <sheetViews>
    <sheetView zoomScale="145" zoomScaleNormal="145" workbookViewId="0">
      <selection activeCell="B10" sqref="B10"/>
    </sheetView>
  </sheetViews>
  <sheetFormatPr defaultColWidth="9" defaultRowHeight="13.5"/>
  <cols>
    <col min="1" max="1" width="48.625" style="1" customWidth="1"/>
    <col min="2" max="2" width="14.375" style="1" customWidth="1"/>
    <col min="3" max="4" width="9" style="1"/>
    <col min="5" max="5" width="9" style="1" hidden="1" customWidth="1"/>
    <col min="6" max="6" width="20.5" style="1" hidden="1" customWidth="1"/>
    <col min="7" max="7" width="23.125" style="1" hidden="1" customWidth="1"/>
    <col min="8" max="8" width="26.125" style="1" hidden="1" customWidth="1"/>
    <col min="9" max="10" width="10" style="1" hidden="1" customWidth="1"/>
    <col min="11" max="11" width="13.75" style="1" hidden="1" customWidth="1"/>
    <col min="12" max="12" width="14.75" style="1" hidden="1" customWidth="1"/>
    <col min="13" max="13" width="22.625" style="1" hidden="1" customWidth="1"/>
    <col min="14" max="14" width="52.5" style="1" hidden="1" customWidth="1"/>
    <col min="15" max="15" width="16.125" style="1" hidden="1" customWidth="1"/>
    <col min="16" max="16" width="7.5" style="1" hidden="1" customWidth="1"/>
    <col min="17" max="17" width="4.5" style="1" hidden="1" customWidth="1"/>
    <col min="18" max="18" width="19.625" style="1" hidden="1" customWidth="1"/>
    <col min="19" max="19" width="32" style="1" hidden="1" customWidth="1"/>
    <col min="20" max="20" width="29" style="1" hidden="1" customWidth="1"/>
    <col min="21" max="21" width="12.75" style="1" hidden="1" customWidth="1"/>
    <col min="22" max="22" width="9.625" style="1" hidden="1" customWidth="1"/>
    <col min="23" max="23" width="4.875" style="1" hidden="1" customWidth="1"/>
    <col min="24" max="24" width="22.875" style="1" hidden="1" customWidth="1"/>
    <col min="25" max="25" width="17.75" style="1" hidden="1" customWidth="1"/>
    <col min="26" max="26" width="15.625" style="1" hidden="1" customWidth="1"/>
    <col min="27" max="27" width="15.75" style="1" hidden="1" customWidth="1"/>
    <col min="28" max="28" width="16.375" style="1" hidden="1" customWidth="1"/>
    <col min="29" max="29" width="50.125" style="1" hidden="1" customWidth="1"/>
    <col min="30" max="30" width="14.875" style="1" hidden="1" customWidth="1"/>
    <col min="31" max="31" width="15.25" style="1" hidden="1" customWidth="1"/>
    <col min="32" max="32" width="20.5" style="1" hidden="1" customWidth="1"/>
    <col min="33" max="33" width="22" style="1" hidden="1" customWidth="1"/>
    <col min="34" max="34" width="21.625" style="1" hidden="1" customWidth="1"/>
    <col min="35" max="35" width="20.625" style="1" hidden="1" customWidth="1"/>
    <col min="36" max="36" width="10" style="1" hidden="1" customWidth="1"/>
    <col min="37" max="37" width="9.75" style="1" hidden="1" customWidth="1"/>
    <col min="38" max="38" width="13.25" style="1" hidden="1" customWidth="1"/>
    <col min="39" max="39" width="13.875" style="1" hidden="1" customWidth="1"/>
    <col min="40" max="40" width="12.5" style="1" hidden="1" customWidth="1"/>
    <col min="41" max="41" width="23.875" style="1" hidden="1" customWidth="1"/>
    <col min="42" max="42" width="22.125" style="1" hidden="1" customWidth="1"/>
    <col min="43" max="44" width="17.5" style="1" hidden="1" customWidth="1"/>
    <col min="45" max="45" width="23.5" style="1" hidden="1" customWidth="1"/>
    <col min="46" max="51" width="9" style="1" hidden="1" customWidth="1"/>
    <col min="52" max="16384" width="9" style="1"/>
  </cols>
  <sheetData>
    <row r="1" spans="1:7" customFormat="1">
      <c r="A1" s="2"/>
      <c r="B1" s="3"/>
    </row>
    <row r="2" spans="1:7" customFormat="1">
      <c r="A2" s="4" t="s">
        <v>312</v>
      </c>
      <c r="B2" s="5">
        <f>H49</f>
        <v>640</v>
      </c>
    </row>
    <row r="3" spans="1:7" customFormat="1">
      <c r="A3" s="4" t="s">
        <v>314</v>
      </c>
      <c r="B3" s="5">
        <f>H50</f>
        <v>512</v>
      </c>
    </row>
    <row r="4" spans="1:7" customFormat="1">
      <c r="A4" s="2" t="s">
        <v>28</v>
      </c>
      <c r="B4" s="6">
        <v>640</v>
      </c>
      <c r="C4" s="7" t="str">
        <f>IF(OR(B4&gt;B2,B4&lt;2),G17,"")</f>
        <v/>
      </c>
    </row>
    <row r="5" spans="1:7" customFormat="1">
      <c r="A5" s="2" t="s">
        <v>29</v>
      </c>
      <c r="B5" s="6">
        <v>512</v>
      </c>
      <c r="C5" s="7" t="str">
        <f>IF(OR(B5&gt;B3,B5&lt;2),G18,"")</f>
        <v/>
      </c>
    </row>
    <row r="6" spans="1:7" customFormat="1">
      <c r="A6" s="4" t="s">
        <v>320</v>
      </c>
      <c r="B6" s="8">
        <v>1</v>
      </c>
      <c r="C6" s="7" t="str">
        <f>IF(AND(B6=2,B8=2),"Bining Horizontal and Decimation Horizontal cannot be set together"," ")</f>
        <v xml:space="preserve"> </v>
      </c>
    </row>
    <row r="7" spans="1:7" customFormat="1">
      <c r="A7" s="4" t="s">
        <v>322</v>
      </c>
      <c r="B7" s="8">
        <v>1</v>
      </c>
      <c r="C7" s="7" t="str">
        <f>IF(AND(B7=2,B9=2),"Bining Vertical and Decimation Vertical cannot be set together"," ")</f>
        <v xml:space="preserve"> </v>
      </c>
    </row>
    <row r="8" spans="1:7" customFormat="1">
      <c r="A8" s="4" t="s">
        <v>525</v>
      </c>
      <c r="B8" s="8">
        <v>1</v>
      </c>
      <c r="C8" s="7" t="str">
        <f>IF(AND(B6=2,B8=2),"Bining Horizontal and Decimation Horizontal cannot be set together"," ")</f>
        <v xml:space="preserve"> </v>
      </c>
    </row>
    <row r="9" spans="1:7" customFormat="1">
      <c r="A9" s="4" t="s">
        <v>526</v>
      </c>
      <c r="B9" s="8">
        <v>1</v>
      </c>
      <c r="C9" s="9" t="str">
        <f>IF(AND(B7=2,B9=2),"Bining Vertical and Decimation Vertical cannot be set together"," ")</f>
        <v xml:space="preserve"> </v>
      </c>
    </row>
    <row r="10" spans="1:7" customFormat="1">
      <c r="A10" s="2" t="s">
        <v>30</v>
      </c>
      <c r="B10" s="10">
        <v>10000</v>
      </c>
    </row>
    <row r="11" spans="1:7" customFormat="1">
      <c r="A11" s="4" t="s">
        <v>323</v>
      </c>
      <c r="B11" s="8">
        <v>0</v>
      </c>
    </row>
    <row r="12" spans="1:7" customFormat="1">
      <c r="A12" s="2" t="s">
        <v>527</v>
      </c>
      <c r="B12" s="6">
        <v>8</v>
      </c>
    </row>
    <row r="13" spans="1:7" customFormat="1">
      <c r="A13" s="2" t="s">
        <v>528</v>
      </c>
      <c r="B13" s="6">
        <v>12</v>
      </c>
      <c r="C13" s="7" t="str">
        <f>IF(B12=8,IF(AND(B13&lt;&gt;8,B13&lt;&gt;10,B13&lt;&gt;12),"",""),IF(OR(B12=10,B12="10p"),IF(B13&lt;&gt;10,"Only Set BPP10",""),IF(OR(B12=12,B12="12p"),IF(B13&lt;&gt;12,"Only Set BPP12",""),"")))</f>
        <v/>
      </c>
    </row>
    <row r="14" spans="1:7" customFormat="1">
      <c r="A14" s="2" t="s">
        <v>32</v>
      </c>
      <c r="B14" s="6">
        <v>1500</v>
      </c>
    </row>
    <row r="15" spans="1:7" customFormat="1">
      <c r="A15" s="2" t="s">
        <v>33</v>
      </c>
      <c r="B15" s="6">
        <v>0</v>
      </c>
    </row>
    <row r="16" spans="1:7" customFormat="1">
      <c r="A16" s="2" t="s">
        <v>34</v>
      </c>
      <c r="B16" s="11">
        <f>O50</f>
        <v>180000</v>
      </c>
      <c r="G16" s="12" t="s">
        <v>364</v>
      </c>
    </row>
    <row r="17" spans="1:45" customFormat="1">
      <c r="A17" s="2" t="s">
        <v>35</v>
      </c>
      <c r="B17" s="6">
        <v>94.5</v>
      </c>
      <c r="G17" t="s">
        <v>529</v>
      </c>
    </row>
    <row r="18" spans="1:45" customFormat="1">
      <c r="A18" s="2" t="s">
        <v>36</v>
      </c>
      <c r="B18" s="6">
        <v>0</v>
      </c>
      <c r="G18" t="s">
        <v>530</v>
      </c>
    </row>
    <row r="19" spans="1:45" customFormat="1">
      <c r="A19" s="2" t="s">
        <v>37</v>
      </c>
      <c r="B19" s="6">
        <v>1000</v>
      </c>
      <c r="G19" t="s">
        <v>361</v>
      </c>
    </row>
    <row r="20" spans="1:45" customFormat="1">
      <c r="A20" s="2" t="s">
        <v>38</v>
      </c>
      <c r="B20" s="6">
        <v>10</v>
      </c>
      <c r="G20" s="12"/>
    </row>
    <row r="21" spans="1:45" customFormat="1">
      <c r="A21" s="2" t="s">
        <v>39</v>
      </c>
      <c r="B21" s="11">
        <f>O52</f>
        <v>99</v>
      </c>
      <c r="G21" s="12"/>
    </row>
    <row r="22" spans="1:45" customFormat="1">
      <c r="A22" s="2" t="s">
        <v>531</v>
      </c>
      <c r="B22" s="6">
        <v>0</v>
      </c>
      <c r="G22" s="12">
        <f>IF(OR(OR(B4&gt;B2,B4&lt;4),OR(B5&gt;B3,B5&lt;2)),1,0)</f>
        <v>0</v>
      </c>
    </row>
    <row r="23" spans="1:45" customFormat="1">
      <c r="A23" s="2" t="s">
        <v>532</v>
      </c>
      <c r="B23" s="6" t="s">
        <v>533</v>
      </c>
    </row>
    <row r="24" spans="1:45" customFormat="1" ht="14.25">
      <c r="A24" s="13"/>
      <c r="B24" s="11"/>
    </row>
    <row r="25" spans="1:45" customFormat="1" ht="14.25">
      <c r="A25" s="13" t="s">
        <v>40</v>
      </c>
      <c r="B25" s="14">
        <f>O32</f>
        <v>97.770825185764565</v>
      </c>
      <c r="C25" s="7" t="str">
        <f>IF(G22,G19,"")</f>
        <v/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>
      <c r="F26" s="15" t="s">
        <v>534</v>
      </c>
      <c r="G26" s="15" t="s">
        <v>535</v>
      </c>
      <c r="H26" s="16" t="s">
        <v>536</v>
      </c>
      <c r="I26" s="31"/>
      <c r="J26" s="31"/>
      <c r="X26" s="31"/>
      <c r="Y26" s="31"/>
      <c r="Z26" s="31"/>
      <c r="AA26" s="31"/>
      <c r="AB26" s="31"/>
      <c r="AC26" s="31"/>
    </row>
    <row r="27" spans="1:45" ht="14.25" customHeight="1">
      <c r="F27" s="17" t="s">
        <v>42</v>
      </c>
      <c r="G27" s="18" t="s">
        <v>41</v>
      </c>
      <c r="H27" s="19" t="s">
        <v>690</v>
      </c>
      <c r="I27" s="31"/>
      <c r="J27" s="31"/>
      <c r="L27" s="249" t="s">
        <v>44</v>
      </c>
      <c r="M27" s="250"/>
      <c r="N27" s="250"/>
      <c r="O27" s="250"/>
      <c r="P27" s="251"/>
      <c r="R27" s="249" t="s">
        <v>45</v>
      </c>
      <c r="S27" s="250"/>
      <c r="T27" s="250"/>
      <c r="U27" s="250"/>
      <c r="V27" s="251"/>
      <c r="X27" s="293" t="s">
        <v>370</v>
      </c>
      <c r="Y27" s="294"/>
      <c r="Z27" s="294"/>
      <c r="AA27" s="294"/>
      <c r="AB27" s="294"/>
      <c r="AC27" s="294"/>
      <c r="AD27" s="294"/>
      <c r="AE27" s="294"/>
      <c r="AF27" s="294"/>
      <c r="AG27" s="294"/>
      <c r="AH27" s="294"/>
      <c r="AI27" s="294"/>
      <c r="AJ27" s="294"/>
      <c r="AK27" s="294"/>
      <c r="AL27" s="294"/>
      <c r="AM27" s="294"/>
      <c r="AN27" s="294"/>
      <c r="AO27" s="294"/>
      <c r="AP27" s="294"/>
      <c r="AQ27" s="294"/>
      <c r="AR27" s="294"/>
      <c r="AS27" s="294"/>
    </row>
    <row r="28" spans="1:45">
      <c r="F28" s="250" t="s">
        <v>371</v>
      </c>
      <c r="G28" s="250"/>
      <c r="H28" s="250"/>
      <c r="I28" s="250"/>
      <c r="J28" s="251"/>
      <c r="L28" s="32" t="s">
        <v>48</v>
      </c>
      <c r="M28" s="20" t="s">
        <v>49</v>
      </c>
      <c r="N28" s="33" t="s">
        <v>50</v>
      </c>
      <c r="O28" s="20" t="s">
        <v>51</v>
      </c>
      <c r="P28" s="34" t="s">
        <v>52</v>
      </c>
      <c r="R28" s="233" t="s">
        <v>539</v>
      </c>
      <c r="S28" s="234"/>
      <c r="T28" s="234"/>
      <c r="U28" s="234"/>
      <c r="V28" s="235"/>
      <c r="X28" s="59" t="s">
        <v>373</v>
      </c>
      <c r="Y28" s="74" t="s">
        <v>374</v>
      </c>
      <c r="Z28" s="74" t="s">
        <v>540</v>
      </c>
      <c r="AA28" s="74" t="s">
        <v>541</v>
      </c>
      <c r="AB28" s="74" t="s">
        <v>377</v>
      </c>
      <c r="AC28" s="74" t="s">
        <v>378</v>
      </c>
      <c r="AD28" s="74" t="s">
        <v>379</v>
      </c>
      <c r="AE28" s="74" t="s">
        <v>380</v>
      </c>
      <c r="AF28" s="74" t="s">
        <v>381</v>
      </c>
      <c r="AG28" s="74" t="s">
        <v>382</v>
      </c>
      <c r="AH28" s="74" t="s">
        <v>383</v>
      </c>
      <c r="AI28" s="74" t="s">
        <v>384</v>
      </c>
      <c r="AJ28" s="84" t="s">
        <v>542</v>
      </c>
      <c r="AK28" s="74" t="s">
        <v>543</v>
      </c>
      <c r="AL28" s="74" t="s">
        <v>544</v>
      </c>
      <c r="AM28" s="74" t="s">
        <v>545</v>
      </c>
      <c r="AN28" s="74" t="s">
        <v>546</v>
      </c>
      <c r="AO28" s="74" t="s">
        <v>547</v>
      </c>
      <c r="AP28" s="74" t="s">
        <v>548</v>
      </c>
      <c r="AQ28" s="86" t="s">
        <v>549</v>
      </c>
      <c r="AR28" s="86" t="s">
        <v>550</v>
      </c>
      <c r="AS28" s="87" t="s">
        <v>551</v>
      </c>
    </row>
    <row r="29" spans="1:45" ht="27">
      <c r="F29" s="20" t="s">
        <v>48</v>
      </c>
      <c r="G29" s="20" t="s">
        <v>552</v>
      </c>
      <c r="H29" s="20" t="s">
        <v>58</v>
      </c>
      <c r="I29" s="20" t="s">
        <v>59</v>
      </c>
      <c r="J29" s="35" t="s">
        <v>52</v>
      </c>
      <c r="L29" s="233" t="s">
        <v>60</v>
      </c>
      <c r="M29" s="234"/>
      <c r="N29" s="234"/>
      <c r="O29" s="234"/>
      <c r="P29" s="235"/>
      <c r="R29" s="32" t="s">
        <v>48</v>
      </c>
      <c r="S29" s="20" t="s">
        <v>49</v>
      </c>
      <c r="T29" s="20" t="s">
        <v>50</v>
      </c>
      <c r="U29" s="20" t="s">
        <v>61</v>
      </c>
      <c r="V29" s="60" t="s">
        <v>52</v>
      </c>
      <c r="X29" s="61" t="s">
        <v>538</v>
      </c>
      <c r="Y29" s="75" t="s">
        <v>553</v>
      </c>
      <c r="Z29" s="75" t="s">
        <v>554</v>
      </c>
      <c r="AA29" s="76" t="str">
        <f>IF(OR(H26="A7",H26="A7-100T"),"37647","不确定")</f>
        <v>37647</v>
      </c>
      <c r="AB29" s="75">
        <v>1</v>
      </c>
      <c r="AC29" s="75">
        <v>4</v>
      </c>
      <c r="AD29" s="75">
        <f>8/I67</f>
        <v>8</v>
      </c>
      <c r="AE29" s="75">
        <f>4</f>
        <v>4</v>
      </c>
      <c r="AF29" s="77">
        <f>1280/I67</f>
        <v>1280</v>
      </c>
      <c r="AG29" s="75">
        <v>2</v>
      </c>
      <c r="AH29" s="77">
        <f>1392/I67</f>
        <v>1392</v>
      </c>
      <c r="AI29" s="77">
        <f>1024/I68</f>
        <v>1024</v>
      </c>
      <c r="AJ29" s="85" t="str">
        <f>IF(OR(H26="A7",H26="A7-100T"),IF(I32=12,"493",IF(I32=10,"282","262")),"不确定")</f>
        <v>493</v>
      </c>
      <c r="AK29" s="75">
        <v>36</v>
      </c>
      <c r="AL29" s="75">
        <v>17</v>
      </c>
      <c r="AM29" s="52">
        <v>7372</v>
      </c>
      <c r="AN29" s="75">
        <v>10</v>
      </c>
      <c r="AO29" s="75">
        <v>10000</v>
      </c>
      <c r="AP29" s="75">
        <v>49</v>
      </c>
      <c r="AQ29" s="88" t="s">
        <v>555</v>
      </c>
      <c r="AR29" s="88">
        <v>4</v>
      </c>
      <c r="AS29" s="89">
        <v>80000</v>
      </c>
    </row>
    <row r="30" spans="1:45" ht="40.5">
      <c r="F30" s="234" t="s">
        <v>65</v>
      </c>
      <c r="G30" s="234"/>
      <c r="H30" s="234"/>
      <c r="I30" s="234"/>
      <c r="J30" s="235"/>
      <c r="K30" s="1" t="str">
        <f>"0x"&amp;DEC2HEX(ROUNDUP((O30-U40/U41*1000000/U42)/(1000000/U42),0))</f>
        <v>0x35C</v>
      </c>
      <c r="L30" s="25" t="s">
        <v>66</v>
      </c>
      <c r="M30" s="22" t="s">
        <v>67</v>
      </c>
      <c r="N30" s="38" t="s">
        <v>68</v>
      </c>
      <c r="O30" s="39">
        <f>ROUNDUP(1000000*U33/U30,0)</f>
        <v>13096</v>
      </c>
      <c r="P30" s="40" t="s">
        <v>69</v>
      </c>
      <c r="R30" s="62" t="s">
        <v>556</v>
      </c>
      <c r="S30" s="57" t="s">
        <v>70</v>
      </c>
      <c r="T30" s="57" t="s">
        <v>557</v>
      </c>
      <c r="U30" s="58" t="str">
        <f>VLOOKUP($H$27,$X$29:$AQ$45,4,FALSE)</f>
        <v>37647</v>
      </c>
      <c r="V30" s="63" t="s">
        <v>72</v>
      </c>
      <c r="X30" s="61" t="s">
        <v>690</v>
      </c>
      <c r="Y30" s="75" t="s">
        <v>691</v>
      </c>
      <c r="Z30" s="75" t="s">
        <v>554</v>
      </c>
      <c r="AA30" s="76" t="str">
        <f>IF(OR(H26="A7",H26="A7-100T"),"37647","不确定")</f>
        <v>37647</v>
      </c>
      <c r="AB30" s="75">
        <v>1</v>
      </c>
      <c r="AC30" s="75">
        <v>4</v>
      </c>
      <c r="AD30" s="75">
        <f>8/I67</f>
        <v>8</v>
      </c>
      <c r="AE30" s="75">
        <f>4</f>
        <v>4</v>
      </c>
      <c r="AF30" s="77">
        <f>640/I67/I64</f>
        <v>640</v>
      </c>
      <c r="AG30" s="75">
        <v>2</v>
      </c>
      <c r="AH30" s="77">
        <f>752/I67</f>
        <v>752</v>
      </c>
      <c r="AI30" s="77">
        <f>512/I68/I65</f>
        <v>512</v>
      </c>
      <c r="AJ30" s="85" t="str">
        <f>IF(OR(H26="A7",H26="A7-100T"),IF(I32=12,"493",IF(I32=10,"282","262")),"不确定")</f>
        <v>493</v>
      </c>
      <c r="AK30" s="75">
        <v>36</v>
      </c>
      <c r="AL30" s="75">
        <v>17</v>
      </c>
      <c r="AM30" s="52">
        <v>7372</v>
      </c>
      <c r="AN30" s="75">
        <v>10</v>
      </c>
      <c r="AO30" s="75">
        <v>10000</v>
      </c>
      <c r="AP30" s="75">
        <v>49</v>
      </c>
      <c r="AQ30" s="88" t="s">
        <v>555</v>
      </c>
      <c r="AR30" s="88">
        <v>4</v>
      </c>
      <c r="AS30" s="89">
        <v>80000</v>
      </c>
    </row>
    <row r="31" spans="1:45" ht="94.5">
      <c r="F31" s="22" t="str">
        <f>VLOOKUP($H$27,$X$29:$AQ$45,20,FALSE)</f>
        <v>像素格式(8/10/12)</v>
      </c>
      <c r="G31" s="22" t="s">
        <v>76</v>
      </c>
      <c r="H31" s="22">
        <v>8</v>
      </c>
      <c r="I31" s="41">
        <f>B12</f>
        <v>8</v>
      </c>
      <c r="J31" s="42" t="s">
        <v>84</v>
      </c>
      <c r="K31" s="1" t="str">
        <f>"0x"&amp;DEC2HEX(O39)</f>
        <v>0x2FC</v>
      </c>
      <c r="L31" s="25" t="s">
        <v>78</v>
      </c>
      <c r="M31" s="22" t="s">
        <v>79</v>
      </c>
      <c r="N31" s="38" t="s">
        <v>559</v>
      </c>
      <c r="O31" s="43">
        <f>IF(I37="Ultra Short",MAX(O34,O35,O36,O37),IF(I35="TriggerWidth",ROUNDUP(MAX(O34,O55,O36)*O30/1000,0),ROUNDUP(MAX(O34,O35,O36,O37)*O30/1000,0)))</f>
        <v>10228</v>
      </c>
      <c r="P31" s="40" t="s">
        <v>81</v>
      </c>
      <c r="R31" s="62" t="s">
        <v>98</v>
      </c>
      <c r="S31" s="57" t="s">
        <v>99</v>
      </c>
      <c r="T31" s="57" t="s">
        <v>560</v>
      </c>
      <c r="U31" s="58">
        <f>VLOOKUP($H$27,$X$29:$AQ$45,7,FALSE)</f>
        <v>8</v>
      </c>
      <c r="V31" s="63" t="s">
        <v>100</v>
      </c>
      <c r="X31" s="64"/>
      <c r="Y31" s="64"/>
      <c r="Z31" s="64"/>
      <c r="AA31" s="78"/>
      <c r="AB31" s="64"/>
      <c r="AC31" s="64"/>
      <c r="AD31" s="64"/>
      <c r="AE31" s="64"/>
      <c r="AF31" s="79"/>
      <c r="AG31" s="64"/>
      <c r="AH31" s="79"/>
      <c r="AI31" s="79"/>
      <c r="AJ31" s="78"/>
      <c r="AK31" s="64"/>
      <c r="AL31" s="64"/>
      <c r="AM31" s="64"/>
      <c r="AN31" s="64"/>
      <c r="AO31" s="64"/>
      <c r="AP31" s="64"/>
      <c r="AQ31" s="64"/>
      <c r="AR31" s="64"/>
      <c r="AS31" s="64"/>
    </row>
    <row r="32" spans="1:45" ht="54">
      <c r="F32" s="22" t="s">
        <v>561</v>
      </c>
      <c r="G32" s="22" t="s">
        <v>562</v>
      </c>
      <c r="H32" s="22">
        <v>12</v>
      </c>
      <c r="I32" s="41">
        <f>B13</f>
        <v>12</v>
      </c>
      <c r="J32" s="42" t="s">
        <v>84</v>
      </c>
      <c r="L32" s="25" t="s">
        <v>87</v>
      </c>
      <c r="M32" s="22" t="s">
        <v>60</v>
      </c>
      <c r="N32" s="38" t="s">
        <v>563</v>
      </c>
      <c r="O32" s="43">
        <f>1000000/O31</f>
        <v>97.770825185764565</v>
      </c>
      <c r="P32" s="40" t="s">
        <v>89</v>
      </c>
      <c r="R32" s="62" t="s">
        <v>109</v>
      </c>
      <c r="S32" s="57" t="s">
        <v>564</v>
      </c>
      <c r="T32" s="57" t="s">
        <v>560</v>
      </c>
      <c r="U32" s="58">
        <f>VLOOKUP($H$27,$X$29:$AQ$45,8,FALSE)</f>
        <v>4</v>
      </c>
      <c r="V32" s="63" t="s">
        <v>100</v>
      </c>
      <c r="X32" s="64"/>
      <c r="Y32" s="64"/>
      <c r="Z32" s="64"/>
      <c r="AA32" s="78"/>
      <c r="AB32" s="64"/>
      <c r="AC32" s="64"/>
      <c r="AD32" s="64"/>
      <c r="AE32" s="64"/>
      <c r="AF32" s="64"/>
      <c r="AG32" s="64"/>
      <c r="AH32" s="64"/>
      <c r="AI32" s="64"/>
      <c r="AJ32" s="78"/>
      <c r="AK32" s="64"/>
      <c r="AL32" s="64"/>
      <c r="AM32" s="64"/>
      <c r="AN32" s="64"/>
      <c r="AO32" s="64"/>
      <c r="AP32" s="64"/>
      <c r="AQ32" s="64"/>
      <c r="AR32" s="64"/>
      <c r="AS32" s="64"/>
    </row>
    <row r="33" spans="6:45" ht="27">
      <c r="F33" s="234" t="s">
        <v>86</v>
      </c>
      <c r="G33" s="234"/>
      <c r="H33" s="234"/>
      <c r="I33" s="234"/>
      <c r="J33" s="235"/>
      <c r="L33" s="233" t="s">
        <v>97</v>
      </c>
      <c r="M33" s="234"/>
      <c r="N33" s="234"/>
      <c r="O33" s="234"/>
      <c r="P33" s="235"/>
      <c r="R33" s="62" t="s">
        <v>117</v>
      </c>
      <c r="S33" s="57" t="s">
        <v>565</v>
      </c>
      <c r="T33" s="57" t="s">
        <v>560</v>
      </c>
      <c r="U33" s="65" t="str">
        <f>IF(I31=8,VLOOKUP($H$27,$X$29:$AQ$45,13,FALSE),IF(OR(I31="10p",I31="12p"),ROUNDUP(VLOOKUP($H$27,$X$29:$AQ$45,13,FALSE),0),VLOOKUP($H$27,$X$29:$AQ$45,13,FALSE)))</f>
        <v>493</v>
      </c>
      <c r="V33" s="63" t="s">
        <v>120</v>
      </c>
      <c r="X33" s="64"/>
      <c r="Y33" s="64"/>
      <c r="Z33" s="64"/>
      <c r="AA33" s="78"/>
      <c r="AB33" s="64"/>
      <c r="AC33" s="64"/>
      <c r="AD33" s="64"/>
      <c r="AE33" s="64"/>
      <c r="AF33" s="64"/>
      <c r="AG33" s="64"/>
      <c r="AH33" s="64"/>
      <c r="AI33" s="64"/>
      <c r="AJ33" s="78"/>
      <c r="AK33" s="64"/>
      <c r="AL33" s="64"/>
      <c r="AM33" s="64"/>
      <c r="AN33" s="64"/>
      <c r="AO33" s="64"/>
      <c r="AP33" s="64"/>
      <c r="AQ33" s="64"/>
      <c r="AR33" s="64"/>
      <c r="AS33" s="64"/>
    </row>
    <row r="34" spans="6:45" ht="40.5">
      <c r="F34" s="22" t="s">
        <v>566</v>
      </c>
      <c r="G34" s="22" t="s">
        <v>531</v>
      </c>
      <c r="H34" s="22" t="s">
        <v>567</v>
      </c>
      <c r="I34" s="41">
        <f>B22</f>
        <v>0</v>
      </c>
      <c r="J34" s="42" t="s">
        <v>84</v>
      </c>
      <c r="K34" s="1" t="str">
        <f>"0x"&amp;DEC2HEX(IF(OR(H26="A7",H26="A7-100T",H26="EFX"),IF(I37="Ultra Short",50,U34),IF(I37="Ultra Short",54,U33)))</f>
        <v>0x28F</v>
      </c>
      <c r="L34" s="25" t="s">
        <v>105</v>
      </c>
      <c r="M34" s="22" t="s">
        <v>106</v>
      </c>
      <c r="N34" s="22" t="s">
        <v>568</v>
      </c>
      <c r="O34" s="44">
        <f>IF(I37="Ultra Short",ROUNDUP((I50*I65+U35+2)*O30/1000,0),IF(I34=1,I50*I65+U35+O35,I50*I65+U35))</f>
        <v>548</v>
      </c>
      <c r="P34" s="45" t="str">
        <f>IF(I37="Ultra Short","us","line")</f>
        <v>line</v>
      </c>
      <c r="R34" s="66" t="s">
        <v>569</v>
      </c>
      <c r="S34" s="23" t="s">
        <v>570</v>
      </c>
      <c r="T34" s="23" t="s">
        <v>571</v>
      </c>
      <c r="U34" s="44">
        <f>ROUNDUP((U33/U30*50*1000),0)</f>
        <v>655</v>
      </c>
      <c r="V34" s="67" t="s">
        <v>120</v>
      </c>
      <c r="X34" s="64"/>
      <c r="Y34" s="64"/>
      <c r="Z34" s="64"/>
      <c r="AA34" s="78"/>
      <c r="AB34" s="64"/>
      <c r="AC34" s="64"/>
      <c r="AD34" s="64"/>
      <c r="AE34" s="64"/>
      <c r="AF34" s="64"/>
      <c r="AG34" s="64"/>
      <c r="AH34" s="64"/>
      <c r="AI34" s="64"/>
      <c r="AJ34" s="78"/>
      <c r="AK34" s="64"/>
      <c r="AL34" s="64"/>
      <c r="AM34" s="64"/>
      <c r="AN34" s="64"/>
      <c r="AO34" s="64"/>
      <c r="AP34" s="64"/>
      <c r="AQ34" s="64"/>
      <c r="AR34" s="64"/>
      <c r="AS34" s="64"/>
    </row>
    <row r="35" spans="6:45" ht="54">
      <c r="F35" s="22" t="s">
        <v>572</v>
      </c>
      <c r="G35" s="22" t="s">
        <v>573</v>
      </c>
      <c r="H35" s="22" t="s">
        <v>574</v>
      </c>
      <c r="I35" s="41" t="s">
        <v>574</v>
      </c>
      <c r="J35" s="42" t="s">
        <v>84</v>
      </c>
      <c r="K35" s="1" t="str">
        <f>"0x"&amp;DEC2HEX(ROUNDUP((O30-U40/U41*1000000/U42)/(1000000/U42),0))</f>
        <v>0x35C</v>
      </c>
      <c r="L35" s="25" t="s">
        <v>114</v>
      </c>
      <c r="M35" s="22" t="s">
        <v>115</v>
      </c>
      <c r="N35" s="22" t="s">
        <v>575</v>
      </c>
      <c r="O35" s="43">
        <f>IF(I37="Ultra Short",O39+O40+O43+20,O39+IF(I54=1,0,O40)+U36)</f>
        <v>781</v>
      </c>
      <c r="P35" s="45" t="str">
        <f>IF(I37="Ultra Short","us","line")</f>
        <v>line</v>
      </c>
      <c r="R35" s="62" t="s">
        <v>134</v>
      </c>
      <c r="S35" s="57" t="s">
        <v>576</v>
      </c>
      <c r="T35" s="57" t="s">
        <v>560</v>
      </c>
      <c r="U35" s="58">
        <f>VLOOKUP($H$27,$X$29:$AQ$45,14,FALSE)</f>
        <v>36</v>
      </c>
      <c r="V35" s="63" t="s">
        <v>108</v>
      </c>
      <c r="X35" s="31"/>
      <c r="Y35" s="31"/>
      <c r="Z35" s="31"/>
      <c r="AA35" s="31"/>
      <c r="AB35" s="31"/>
      <c r="AC35" s="31"/>
    </row>
    <row r="36" spans="6:45" ht="67.5">
      <c r="F36" s="22" t="str">
        <f>"交叠曝光时间
(0-"&amp;INT((O34-U36)*O30/1000)&amp;")"</f>
        <v>交叠曝光时间
(0-6953)</v>
      </c>
      <c r="G36" s="23" t="s">
        <v>577</v>
      </c>
      <c r="H36" s="22">
        <f>INT((VLOOKUP($H$27,$X$29:$AT$46,12,FALSE)+VLOOKUP($H$27,$X$29:$AT$46,14,FALSE)-U36)*ROUNDUP(1000000*VLOOKUP($H$27,$X$29:$AT$46,13,FALSE)/U30,0)/1000)</f>
        <v>6953</v>
      </c>
      <c r="I36" s="41">
        <v>2000</v>
      </c>
      <c r="J36" s="42" t="s">
        <v>81</v>
      </c>
      <c r="L36" s="25" t="s">
        <v>131</v>
      </c>
      <c r="M36" s="22" t="s">
        <v>132</v>
      </c>
      <c r="N36" s="22" t="s">
        <v>578</v>
      </c>
      <c r="O36" s="43">
        <f>IF(I37="Ultra Short",ROUNDUP((1000000/I62)*I61,0),ROUNDUP(((1000000000/I62)/O30)*I61,0))</f>
        <v>0</v>
      </c>
      <c r="P36" s="45" t="str">
        <f>IF(I37="Ultra Short","us","line")</f>
        <v>line</v>
      </c>
      <c r="R36" s="62" t="s">
        <v>145</v>
      </c>
      <c r="S36" s="57" t="s">
        <v>579</v>
      </c>
      <c r="T36" s="57" t="s">
        <v>560</v>
      </c>
      <c r="U36" s="58">
        <f>VLOOKUP($H$27,$X$29:$AQ$45,15,FALSE)</f>
        <v>17</v>
      </c>
      <c r="V36" s="63" t="s">
        <v>108</v>
      </c>
      <c r="X36" s="31"/>
      <c r="Y36" s="31"/>
      <c r="Z36" s="31"/>
      <c r="AA36" s="31"/>
      <c r="AB36" s="31"/>
      <c r="AC36" s="31"/>
    </row>
    <row r="37" spans="6:45" ht="54">
      <c r="F37" s="22" t="s">
        <v>580</v>
      </c>
      <c r="G37" s="22" t="s">
        <v>532</v>
      </c>
      <c r="H37" s="22" t="s">
        <v>533</v>
      </c>
      <c r="I37" s="41" t="str">
        <f>B23</f>
        <v>Standard</v>
      </c>
      <c r="J37" s="42" t="s">
        <v>84</v>
      </c>
      <c r="K37" s="1" t="str">
        <f>"0x"&amp;DEC2HEX(O34)</f>
        <v>0x224</v>
      </c>
      <c r="L37" s="25" t="s">
        <v>142</v>
      </c>
      <c r="M37" s="22" t="s">
        <v>143</v>
      </c>
      <c r="N37" s="22" t="s">
        <v>581</v>
      </c>
      <c r="O37" s="43">
        <f>IF(I42=0,U74,IF(I43="Standard",U76,0))</f>
        <v>234</v>
      </c>
      <c r="P37" s="45" t="str">
        <f>IF(I37="Ultra Short","us","line")</f>
        <v>line</v>
      </c>
      <c r="R37" s="25" t="s">
        <v>154</v>
      </c>
      <c r="S37" s="22" t="s">
        <v>582</v>
      </c>
      <c r="T37" s="57" t="s">
        <v>560</v>
      </c>
      <c r="U37" s="58">
        <f>VLOOKUP($H$27,$X$29:$AS$45,16,FALSE)</f>
        <v>7372</v>
      </c>
      <c r="V37" s="40" t="s">
        <v>69</v>
      </c>
      <c r="X37" s="31"/>
      <c r="Y37" s="31"/>
      <c r="Z37" s="31"/>
      <c r="AA37" s="31"/>
      <c r="AB37" s="31"/>
      <c r="AC37" s="31"/>
    </row>
    <row r="38" spans="6:45">
      <c r="F38" s="22" t="s">
        <v>86</v>
      </c>
      <c r="G38" s="22" t="s">
        <v>95</v>
      </c>
      <c r="H38" s="22">
        <f>VLOOKUP($H$27,$X$29:$AQ$45,18,FALSE)</f>
        <v>10000</v>
      </c>
      <c r="I38" s="31">
        <f>B10</f>
        <v>10000</v>
      </c>
      <c r="J38" s="42" t="s">
        <v>81</v>
      </c>
      <c r="K38" s="1" t="str">
        <f>"0x"&amp;DEC2HEX(MAX(O34,O35,O36,O37))</f>
        <v>0x30D</v>
      </c>
      <c r="L38" s="233" t="s">
        <v>433</v>
      </c>
      <c r="M38" s="234"/>
      <c r="N38" s="234"/>
      <c r="O38" s="234"/>
      <c r="P38" s="235"/>
      <c r="R38" s="25" t="s">
        <v>583</v>
      </c>
      <c r="S38" s="22" t="s">
        <v>584</v>
      </c>
      <c r="T38" s="57" t="s">
        <v>560</v>
      </c>
      <c r="U38" s="58">
        <f>VLOOKUP($H$27,$X$29:$AQ$45,5,FALSE)</f>
        <v>1</v>
      </c>
      <c r="V38" s="40"/>
      <c r="X38" s="31"/>
      <c r="Y38" s="31"/>
      <c r="Z38" s="31"/>
      <c r="AA38" s="31"/>
      <c r="AB38" s="31"/>
      <c r="AC38" s="31"/>
    </row>
    <row r="39" spans="6:45" ht="67.5">
      <c r="F39" s="22" t="s">
        <v>103</v>
      </c>
      <c r="G39" s="22" t="s">
        <v>102</v>
      </c>
      <c r="H39" s="22">
        <v>0</v>
      </c>
      <c r="I39" s="41">
        <f>B11</f>
        <v>0</v>
      </c>
      <c r="J39" s="42" t="s">
        <v>81</v>
      </c>
      <c r="K39" s="1" t="str">
        <f>"0x"&amp;IF(I43="HighSpeed",IF(I35="TriggerWidth",DEC2HEX(MAX(O34,IF(I54=1,0,O36))),DEC2HEX(MAX(O34,O35,IF(I54=1,0,O36)))),IF(I35="TriggerWidth",DEC2HEX(MAX(O34,IF(I54=1,0,O36),U76)),DEC2HEX(MAX(O34,O35,IF(I54=1,0,O36),U76))))</f>
        <v>0x30D</v>
      </c>
      <c r="L39" s="25" t="s">
        <v>585</v>
      </c>
      <c r="M39" s="22" t="s">
        <v>586</v>
      </c>
      <c r="N39" s="23" t="s">
        <v>587</v>
      </c>
      <c r="O39" s="44">
        <f>IF(I37="Ultra Short",IF(I38&gt;8,ROUNDUP((1000*I38-U37)/1000,0),1),MAX(ROUNDUP(((1000*I38-U37)/O30),0),1))</f>
        <v>764</v>
      </c>
      <c r="P39" s="45" t="str">
        <f>IF(I37="Ultra Short","us","line")</f>
        <v>line</v>
      </c>
      <c r="R39" s="25" t="s">
        <v>588</v>
      </c>
      <c r="S39" s="22" t="s">
        <v>589</v>
      </c>
      <c r="T39" s="57" t="s">
        <v>560</v>
      </c>
      <c r="U39" s="58">
        <f>VLOOKUP($H$27,$X$29:$AQ$45,6,FALSE)</f>
        <v>4</v>
      </c>
      <c r="V39" s="40"/>
    </row>
    <row r="40" spans="6:45" ht="54">
      <c r="F40" s="24" t="s">
        <v>590</v>
      </c>
      <c r="G40" s="23" t="s">
        <v>591</v>
      </c>
      <c r="H40" s="22" t="s">
        <v>84</v>
      </c>
      <c r="I40" s="41">
        <v>10000</v>
      </c>
      <c r="J40" s="22" t="s">
        <v>81</v>
      </c>
      <c r="K40" s="1" t="str">
        <f>"0x"&amp;DEC2HEX(MAX(O34,O35))</f>
        <v>0x30D</v>
      </c>
      <c r="L40" s="25" t="s">
        <v>592</v>
      </c>
      <c r="M40" s="22" t="s">
        <v>440</v>
      </c>
      <c r="N40" s="22" t="s">
        <v>593</v>
      </c>
      <c r="O40" s="43">
        <f>IF(I37="Ultra Short",I39,ROUNDUP(((1000*I39)/O30),0))</f>
        <v>0</v>
      </c>
      <c r="P40" s="45" t="str">
        <f>IF(I37="Ultra Short","us","line")</f>
        <v>line</v>
      </c>
      <c r="R40" s="25" t="s">
        <v>594</v>
      </c>
      <c r="S40" s="22" t="s">
        <v>595</v>
      </c>
      <c r="T40" s="57" t="s">
        <v>560</v>
      </c>
      <c r="U40" s="58">
        <f>VLOOKUP($H$27,$X$29:$AQ$45,11,FALSE)</f>
        <v>752</v>
      </c>
      <c r="V40" s="40"/>
    </row>
    <row r="41" spans="6:45">
      <c r="F41" s="292" t="s">
        <v>596</v>
      </c>
      <c r="G41" s="237"/>
      <c r="H41" s="237"/>
      <c r="I41" s="237"/>
      <c r="J41" s="238"/>
      <c r="L41" s="25" t="s">
        <v>167</v>
      </c>
      <c r="M41" s="22" t="s">
        <v>168</v>
      </c>
      <c r="N41" s="22">
        <v>0</v>
      </c>
      <c r="O41" s="43">
        <v>0</v>
      </c>
      <c r="P41" s="40" t="s">
        <v>81</v>
      </c>
      <c r="R41" s="25" t="s">
        <v>597</v>
      </c>
      <c r="S41" s="22" t="s">
        <v>598</v>
      </c>
      <c r="T41" s="57" t="s">
        <v>560</v>
      </c>
      <c r="U41" s="58">
        <f>VLOOKUP($H$27,$X$29:$AS$45,21,FALSE)</f>
        <v>4</v>
      </c>
      <c r="V41" s="40"/>
    </row>
    <row r="42" spans="6:45" ht="67.5">
      <c r="F42" s="25" t="s">
        <v>596</v>
      </c>
      <c r="G42" s="22" t="s">
        <v>599</v>
      </c>
      <c r="H42" s="22">
        <v>0</v>
      </c>
      <c r="I42" s="41">
        <v>0</v>
      </c>
      <c r="J42" s="46" t="s">
        <v>84</v>
      </c>
      <c r="L42" s="25" t="s">
        <v>171</v>
      </c>
      <c r="M42" s="22" t="s">
        <v>600</v>
      </c>
      <c r="N42" s="22" t="s">
        <v>601</v>
      </c>
      <c r="O42" s="43">
        <f>IF(I37="Ultra Short",IF((I38+4)&gt;100,(I38+4),100),IF((I38+4*O30/1000)&gt;100,(I38+4*O30/1000),100))</f>
        <v>10052.384</v>
      </c>
      <c r="P42" s="40" t="s">
        <v>81</v>
      </c>
      <c r="R42" s="25" t="s">
        <v>602</v>
      </c>
      <c r="S42" s="22" t="s">
        <v>603</v>
      </c>
      <c r="T42" s="57" t="s">
        <v>560</v>
      </c>
      <c r="U42" s="58">
        <f>VLOOKUP($H$27,$X$29:$AS$45,22,FALSE)</f>
        <v>80000</v>
      </c>
      <c r="V42" s="40" t="s">
        <v>72</v>
      </c>
    </row>
    <row r="43" spans="6:45" ht="81">
      <c r="F43" s="26" t="s">
        <v>604</v>
      </c>
      <c r="G43" s="22" t="s">
        <v>605</v>
      </c>
      <c r="H43" s="22" t="s">
        <v>533</v>
      </c>
      <c r="I43" s="41" t="s">
        <v>533</v>
      </c>
      <c r="J43" s="42" t="s">
        <v>84</v>
      </c>
      <c r="L43" s="25" t="s">
        <v>199</v>
      </c>
      <c r="M43" s="22" t="s">
        <v>200</v>
      </c>
      <c r="N43" s="22" t="s">
        <v>606</v>
      </c>
      <c r="O43" s="43">
        <f>IF(I37="Ultra Short",ROUNDUP((VLOOKUP($H$27,$X$29:$AQ$45,17,FALSE)+11+I50*I65)*O30/1000,0),VLOOKUP($H$27,$X$29:$AQ$45,17,FALSE)+11+I50*I65)</f>
        <v>533</v>
      </c>
      <c r="P43" s="45" t="str">
        <f>IF(I37="Ultra Short","us","line")</f>
        <v>line</v>
      </c>
      <c r="R43" s="289" t="s">
        <v>607</v>
      </c>
      <c r="S43" s="290"/>
      <c r="T43" s="290"/>
      <c r="U43" s="290"/>
      <c r="V43" s="291"/>
    </row>
    <row r="44" spans="6:45">
      <c r="F44" s="234" t="s">
        <v>104</v>
      </c>
      <c r="G44" s="234"/>
      <c r="H44" s="234"/>
      <c r="I44" s="234"/>
      <c r="J44" s="235"/>
      <c r="L44" s="233" t="s">
        <v>346</v>
      </c>
      <c r="M44" s="234"/>
      <c r="N44" s="234"/>
      <c r="O44" s="234"/>
      <c r="P44" s="235"/>
      <c r="R44" s="233" t="s">
        <v>438</v>
      </c>
      <c r="S44" s="234"/>
      <c r="T44" s="234"/>
      <c r="U44" s="234"/>
      <c r="V44" s="235"/>
    </row>
    <row r="45" spans="6:45" ht="40.5">
      <c r="F45" s="22" t="s">
        <v>425</v>
      </c>
      <c r="G45" s="22" t="s">
        <v>112</v>
      </c>
      <c r="H45" s="22">
        <v>0</v>
      </c>
      <c r="I45" s="41">
        <v>0</v>
      </c>
      <c r="J45" s="42" t="s">
        <v>81</v>
      </c>
      <c r="L45" s="25" t="s">
        <v>449</v>
      </c>
      <c r="M45" s="22" t="s">
        <v>450</v>
      </c>
      <c r="N45" s="22" t="s">
        <v>451</v>
      </c>
      <c r="O45" s="43">
        <f>O32*U62</f>
        <v>32037543.996871334</v>
      </c>
      <c r="P45" s="40" t="s">
        <v>194</v>
      </c>
      <c r="R45" s="32" t="s">
        <v>48</v>
      </c>
      <c r="S45" s="20" t="s">
        <v>49</v>
      </c>
      <c r="T45" s="20" t="s">
        <v>50</v>
      </c>
      <c r="U45" s="20" t="s">
        <v>61</v>
      </c>
      <c r="V45" s="60" t="s">
        <v>52</v>
      </c>
      <c r="X45" s="68"/>
    </row>
    <row r="46" spans="6:45" ht="49.5" customHeight="1">
      <c r="F46" s="234" t="s">
        <v>130</v>
      </c>
      <c r="G46" s="234"/>
      <c r="H46" s="234"/>
      <c r="I46" s="234"/>
      <c r="J46" s="235"/>
      <c r="L46" s="47" t="s">
        <v>454</v>
      </c>
      <c r="M46" s="48" t="s">
        <v>455</v>
      </c>
      <c r="N46" s="22" t="s">
        <v>456</v>
      </c>
      <c r="O46" s="43">
        <f>O32*U70</f>
        <v>33395385.21705123</v>
      </c>
      <c r="P46" s="40" t="s">
        <v>194</v>
      </c>
      <c r="R46" s="62" t="s">
        <v>221</v>
      </c>
      <c r="S46" s="57" t="s">
        <v>222</v>
      </c>
      <c r="T46" s="57" t="s">
        <v>223</v>
      </c>
      <c r="U46" s="58">
        <v>7</v>
      </c>
      <c r="V46" s="63" t="s">
        <v>181</v>
      </c>
      <c r="X46" s="68"/>
    </row>
    <row r="47" spans="6:45" ht="45.2" customHeight="1">
      <c r="F47" s="22" t="s">
        <v>141</v>
      </c>
      <c r="G47" s="22" t="s">
        <v>140</v>
      </c>
      <c r="H47" s="22">
        <v>0</v>
      </c>
      <c r="I47" s="41">
        <v>0</v>
      </c>
      <c r="J47" s="42" t="s">
        <v>100</v>
      </c>
      <c r="L47" s="47" t="s">
        <v>458</v>
      </c>
      <c r="M47" s="48" t="s">
        <v>459</v>
      </c>
      <c r="N47" s="22" t="s">
        <v>460</v>
      </c>
      <c r="O47" s="43">
        <f>1250*I56*(100-I59)</f>
        <v>112500000</v>
      </c>
      <c r="P47" s="40" t="s">
        <v>194</v>
      </c>
      <c r="R47" s="62" t="s">
        <v>225</v>
      </c>
      <c r="S47" s="57" t="s">
        <v>226</v>
      </c>
      <c r="T47" s="57" t="s">
        <v>227</v>
      </c>
      <c r="U47" s="58">
        <v>1</v>
      </c>
      <c r="V47" s="63" t="s">
        <v>181</v>
      </c>
      <c r="X47" s="249" t="s">
        <v>608</v>
      </c>
      <c r="Y47" s="250"/>
      <c r="Z47" s="250"/>
      <c r="AA47" s="250"/>
      <c r="AB47" s="250"/>
      <c r="AC47" s="251"/>
    </row>
    <row r="48" spans="6:45" ht="27">
      <c r="F48" s="22" t="s">
        <v>152</v>
      </c>
      <c r="G48" s="22" t="s">
        <v>151</v>
      </c>
      <c r="H48" s="22">
        <v>0</v>
      </c>
      <c r="I48" s="41">
        <v>0</v>
      </c>
      <c r="J48" s="42" t="s">
        <v>100</v>
      </c>
      <c r="L48" s="289" t="s">
        <v>607</v>
      </c>
      <c r="M48" s="290"/>
      <c r="N48" s="290"/>
      <c r="O48" s="290"/>
      <c r="P48" s="291"/>
      <c r="R48" s="62" t="s">
        <v>228</v>
      </c>
      <c r="S48" s="57" t="s">
        <v>229</v>
      </c>
      <c r="T48" s="57" t="s">
        <v>230</v>
      </c>
      <c r="U48" s="58">
        <v>14</v>
      </c>
      <c r="V48" s="63" t="s">
        <v>181</v>
      </c>
      <c r="X48" s="233" t="s">
        <v>111</v>
      </c>
      <c r="Y48" s="234"/>
      <c r="Z48" s="234"/>
      <c r="AA48" s="234"/>
      <c r="AB48" s="234"/>
      <c r="AC48" s="235"/>
    </row>
    <row r="49" spans="6:35" ht="27">
      <c r="F49" s="22" t="s">
        <v>158</v>
      </c>
      <c r="G49" s="22" t="s">
        <v>28</v>
      </c>
      <c r="H49" s="22">
        <f>VLOOKUP($H$27,$X$29:$AQ$45,9,FALSE)</f>
        <v>640</v>
      </c>
      <c r="I49" s="41">
        <f>B4</f>
        <v>640</v>
      </c>
      <c r="J49" s="42" t="s">
        <v>100</v>
      </c>
      <c r="L49" s="233" t="s">
        <v>463</v>
      </c>
      <c r="M49" s="234"/>
      <c r="N49" s="234"/>
      <c r="O49" s="234"/>
      <c r="P49" s="235"/>
      <c r="R49" s="62" t="s">
        <v>233</v>
      </c>
      <c r="S49" s="57" t="s">
        <v>234</v>
      </c>
      <c r="T49" s="57" t="s">
        <v>235</v>
      </c>
      <c r="U49" s="58">
        <v>20</v>
      </c>
      <c r="V49" s="63" t="s">
        <v>181</v>
      </c>
      <c r="X49" s="32" t="s">
        <v>54</v>
      </c>
      <c r="Y49" s="20" t="s">
        <v>49</v>
      </c>
      <c r="Z49" s="20" t="s">
        <v>56</v>
      </c>
      <c r="AA49" s="20" t="s">
        <v>50</v>
      </c>
      <c r="AB49" s="20" t="s">
        <v>57</v>
      </c>
      <c r="AC49" s="35" t="s">
        <v>609</v>
      </c>
    </row>
    <row r="50" spans="6:35" ht="108">
      <c r="F50" s="22" t="s">
        <v>166</v>
      </c>
      <c r="G50" s="22" t="s">
        <v>29</v>
      </c>
      <c r="H50" s="22">
        <f>VLOOKUP($H$27,$X$29:$AQ$45,12,FALSE)</f>
        <v>512</v>
      </c>
      <c r="I50" s="41">
        <f>B5</f>
        <v>512</v>
      </c>
      <c r="J50" s="42" t="s">
        <v>100</v>
      </c>
      <c r="L50" s="47" t="s">
        <v>468</v>
      </c>
      <c r="M50" s="49" t="s">
        <v>469</v>
      </c>
      <c r="N50" s="22" t="s">
        <v>610</v>
      </c>
      <c r="O50" s="43">
        <f>IF(ROUNDDOWN((U73-(U70+U68+U69))/(U64+U66+2),0)-12&lt;180000,ROUNDDOWN((U73-(U70+U68+U69))/(U64+U66+2)-12,0),180000)</f>
        <v>180000</v>
      </c>
      <c r="P50" s="40" t="s">
        <v>181</v>
      </c>
      <c r="R50" s="62" t="s">
        <v>236</v>
      </c>
      <c r="S50" s="57" t="s">
        <v>237</v>
      </c>
      <c r="T50" s="57" t="s">
        <v>238</v>
      </c>
      <c r="U50" s="58">
        <v>8</v>
      </c>
      <c r="V50" s="63" t="s">
        <v>181</v>
      </c>
      <c r="X50" s="25" t="s">
        <v>121</v>
      </c>
      <c r="Y50" s="22" t="s">
        <v>122</v>
      </c>
      <c r="Z50" s="23" t="str">
        <f>IF(OR(H26="A7",H26="A7-100T"),"0x01000800",IF(H26="EFX","0xF8120800","0x77601650"))</f>
        <v>0x01000800</v>
      </c>
      <c r="AA50" s="22" t="s">
        <v>123</v>
      </c>
      <c r="AB50" s="44" t="str">
        <f>"0x"&amp;DEC2HEX(IF(OR(H26="A7",H26="A7-100T",H26="EFX"),IF(I37="Ultra Short",50,U34),IF(I37="Ultra Short",54,U33)))</f>
        <v>0x28F</v>
      </c>
      <c r="AC50" s="277" t="s">
        <v>611</v>
      </c>
    </row>
    <row r="51" spans="6:35" ht="27">
      <c r="F51" s="236" t="s">
        <v>170</v>
      </c>
      <c r="G51" s="237"/>
      <c r="H51" s="237"/>
      <c r="I51" s="237"/>
      <c r="J51" s="238"/>
      <c r="L51" s="233" t="s">
        <v>474</v>
      </c>
      <c r="M51" s="234"/>
      <c r="N51" s="234"/>
      <c r="O51" s="234"/>
      <c r="P51" s="235"/>
      <c r="R51" s="62" t="s">
        <v>241</v>
      </c>
      <c r="S51" s="57" t="s">
        <v>242</v>
      </c>
      <c r="T51" s="57" t="s">
        <v>238</v>
      </c>
      <c r="U51" s="58">
        <v>8</v>
      </c>
      <c r="V51" s="63" t="s">
        <v>181</v>
      </c>
      <c r="X51" s="25" t="s">
        <v>418</v>
      </c>
      <c r="Y51" s="22" t="s">
        <v>128</v>
      </c>
      <c r="Z51" s="23" t="str">
        <f>IF(OR(H26="A7",H26="A7-100T"),"0x01000804",IF(H26="EFX","0xF8120804","0x77601654"))</f>
        <v>0x01000804</v>
      </c>
      <c r="AA51" s="22" t="s">
        <v>129</v>
      </c>
      <c r="AB51" s="43" t="str">
        <f>"0x"&amp;DEC2HEX(O40)</f>
        <v>0x0</v>
      </c>
      <c r="AC51" s="277"/>
    </row>
    <row r="52" spans="6:35" ht="67.5">
      <c r="F52" s="22" t="s">
        <v>447</v>
      </c>
      <c r="G52" s="22" t="s">
        <v>190</v>
      </c>
      <c r="H52" s="27">
        <v>0</v>
      </c>
      <c r="I52" s="41">
        <v>0</v>
      </c>
      <c r="J52" s="42" t="s">
        <v>84</v>
      </c>
      <c r="L52" s="50" t="s">
        <v>479</v>
      </c>
      <c r="M52" s="51" t="s">
        <v>474</v>
      </c>
      <c r="N52" s="52" t="s">
        <v>480</v>
      </c>
      <c r="O52" s="53">
        <f>IF((100-ROUNDDOWN(10*U72/(125000*I56),0)-1)&lt;0,0,(100-ROUNDDOWN(10*U72/(125000*I56),0)-1))</f>
        <v>99</v>
      </c>
      <c r="P52" s="54" t="s">
        <v>467</v>
      </c>
      <c r="R52" s="62" t="s">
        <v>244</v>
      </c>
      <c r="S52" s="57" t="s">
        <v>245</v>
      </c>
      <c r="T52" s="57" t="s">
        <v>246</v>
      </c>
      <c r="U52" s="58">
        <v>4</v>
      </c>
      <c r="V52" s="63" t="s">
        <v>181</v>
      </c>
      <c r="X52" s="69" t="s">
        <v>415</v>
      </c>
      <c r="Y52" s="81" t="s">
        <v>138</v>
      </c>
      <c r="Z52" s="82" t="str">
        <f>IF(OR(H26="A7",H26="A7-100T"),"0x01000808",IF(H26="EFX","0xF8120808","0x77601658"))</f>
        <v>0x01000808</v>
      </c>
      <c r="AA52" s="81" t="s">
        <v>139</v>
      </c>
      <c r="AB52" s="81" t="str">
        <f>"0x"&amp;DEC2HEX(O39)</f>
        <v>0x2FC</v>
      </c>
      <c r="AC52" s="277"/>
    </row>
    <row r="53" spans="6:35" ht="54">
      <c r="F53" s="286" t="s">
        <v>612</v>
      </c>
      <c r="G53" s="287"/>
      <c r="H53" s="287"/>
      <c r="I53" s="287"/>
      <c r="J53" s="288"/>
      <c r="L53" s="233" t="s">
        <v>613</v>
      </c>
      <c r="M53" s="234"/>
      <c r="N53" s="234"/>
      <c r="O53" s="234"/>
      <c r="P53" s="235"/>
      <c r="R53" s="62" t="s">
        <v>249</v>
      </c>
      <c r="S53" s="57" t="s">
        <v>250</v>
      </c>
      <c r="T53" s="57" t="s">
        <v>251</v>
      </c>
      <c r="U53" s="58">
        <v>12</v>
      </c>
      <c r="V53" s="63" t="s">
        <v>181</v>
      </c>
      <c r="X53" s="70" t="s">
        <v>614</v>
      </c>
      <c r="Y53" s="22" t="s">
        <v>615</v>
      </c>
      <c r="Z53" s="23" t="s">
        <v>616</v>
      </c>
      <c r="AA53" s="22" t="s">
        <v>617</v>
      </c>
      <c r="AB53" s="43">
        <f>IF(I35="TriggerWidth",1,0)</f>
        <v>0</v>
      </c>
      <c r="AC53" s="277"/>
    </row>
    <row r="54" spans="6:35" ht="54">
      <c r="F54" s="28" t="s">
        <v>618</v>
      </c>
      <c r="G54" s="29" t="s">
        <v>619</v>
      </c>
      <c r="H54" s="30">
        <v>0</v>
      </c>
      <c r="I54" s="55">
        <v>0</v>
      </c>
      <c r="J54" s="56" t="s">
        <v>84</v>
      </c>
      <c r="L54" s="57" t="s">
        <v>620</v>
      </c>
      <c r="M54" s="57" t="s">
        <v>621</v>
      </c>
      <c r="N54" s="57" t="s">
        <v>622</v>
      </c>
      <c r="O54" s="58">
        <f>MAX(INT(1000*I36/O30),1)</f>
        <v>152</v>
      </c>
      <c r="P54" s="57" t="s">
        <v>108</v>
      </c>
      <c r="R54" s="62" t="s">
        <v>254</v>
      </c>
      <c r="S54" s="22" t="s">
        <v>255</v>
      </c>
      <c r="T54" s="57" t="s">
        <v>256</v>
      </c>
      <c r="U54" s="58">
        <f>U49+U50+U51</f>
        <v>36</v>
      </c>
      <c r="V54" s="63" t="s">
        <v>181</v>
      </c>
      <c r="X54" s="70" t="s">
        <v>623</v>
      </c>
      <c r="Y54" s="22" t="s">
        <v>624</v>
      </c>
      <c r="Z54" s="23" t="s">
        <v>625</v>
      </c>
      <c r="AA54" s="22" t="s">
        <v>626</v>
      </c>
      <c r="AB54" s="43" t="str">
        <f>"0x"&amp;DEC2HEX(O54)</f>
        <v>0x98</v>
      </c>
      <c r="AC54" s="277"/>
      <c r="AE54" s="31"/>
      <c r="AF54" s="31"/>
      <c r="AG54" s="31"/>
      <c r="AH54" s="31"/>
      <c r="AI54" s="31"/>
    </row>
    <row r="55" spans="6:35" ht="67.5">
      <c r="F55" s="234" t="s">
        <v>448</v>
      </c>
      <c r="G55" s="234"/>
      <c r="H55" s="234"/>
      <c r="I55" s="234"/>
      <c r="J55" s="235"/>
      <c r="L55" s="57" t="s">
        <v>627</v>
      </c>
      <c r="M55" s="57" t="s">
        <v>628</v>
      </c>
      <c r="N55" s="57" t="s">
        <v>629</v>
      </c>
      <c r="O55" s="58" t="str">
        <f>IF((I42=1)*(I35="TriggerWidth"),O34+IF(ROUNDUP((1000*I40/O30),0)&gt;O54,ROUNDUP((1000*I40/O30),0)-O54,0),"null")</f>
        <v>null</v>
      </c>
      <c r="P55" s="57" t="s">
        <v>108</v>
      </c>
      <c r="R55" s="62" t="s">
        <v>257</v>
      </c>
      <c r="S55" s="22" t="s">
        <v>258</v>
      </c>
      <c r="T55" s="57" t="s">
        <v>259</v>
      </c>
      <c r="U55" s="58">
        <f>U46+U47+U48+U52</f>
        <v>26</v>
      </c>
      <c r="V55" s="63" t="s">
        <v>181</v>
      </c>
      <c r="X55" s="71" t="s">
        <v>630</v>
      </c>
      <c r="Y55" s="81" t="s">
        <v>631</v>
      </c>
      <c r="Z55" s="81" t="str">
        <f>IF(OR(H26="A7",H26="A7-100T"),"0x0100080c",IF(H26="EFX","0xF812080c","0x7760165c"))</f>
        <v>0x0100080c</v>
      </c>
      <c r="AA55" s="81" t="s">
        <v>150</v>
      </c>
      <c r="AB55" s="81" t="str">
        <f>"0x"&amp;DEC2HEX(MAX(O34,O35,O36,O37))</f>
        <v>0x30D</v>
      </c>
      <c r="AC55" s="277"/>
      <c r="AE55" s="31"/>
      <c r="AF55" s="31"/>
      <c r="AG55" s="31"/>
      <c r="AH55" s="31"/>
      <c r="AI55" s="31"/>
    </row>
    <row r="56" spans="6:35" ht="67.5">
      <c r="F56" s="22" t="s">
        <v>328</v>
      </c>
      <c r="G56" s="22" t="s">
        <v>452</v>
      </c>
      <c r="H56" s="27" t="s">
        <v>84</v>
      </c>
      <c r="I56" s="41">
        <f>B19</f>
        <v>1000</v>
      </c>
      <c r="J56" s="42" t="s">
        <v>453</v>
      </c>
      <c r="L56" s="57" t="s">
        <v>632</v>
      </c>
      <c r="M56" s="57" t="s">
        <v>633</v>
      </c>
      <c r="N56" s="57" t="s">
        <v>634</v>
      </c>
      <c r="O56" s="58" t="str">
        <f>IF((I42=1)*(I35="TriggerWidth"),IF(I40&gt;I36,(ROUNDUP((1000*I40/O30),0)*O30+U37)/1000,(ROUNDUP((1000*I36/O30),0)*O30+U37)/1000),"null")</f>
        <v>null</v>
      </c>
      <c r="P56" s="57" t="s">
        <v>81</v>
      </c>
      <c r="R56" s="62" t="s">
        <v>260</v>
      </c>
      <c r="S56" s="57" t="s">
        <v>261</v>
      </c>
      <c r="T56" s="57" t="s">
        <v>262</v>
      </c>
      <c r="U56" s="58">
        <f>64-U48-U52-U54</f>
        <v>10</v>
      </c>
      <c r="V56" s="63" t="s">
        <v>181</v>
      </c>
      <c r="X56" s="71" t="s">
        <v>635</v>
      </c>
      <c r="Y56" s="81" t="s">
        <v>636</v>
      </c>
      <c r="Z56" s="81" t="str">
        <f>IF(OR(H26="A7",H26="A7-100T"),"0x01000848",IF(H26="EFX","0xF8120848","0x77601850"))</f>
        <v>0x01000848</v>
      </c>
      <c r="AA56" s="81" t="s">
        <v>150</v>
      </c>
      <c r="AB56" s="81" t="str">
        <f>"0x"&amp;IF(I43="HighSpeed",IF(I35="TriggerWidth",DEC2HEX(MAX(O34,IF(I54=1,0,O36))),DEC2HEX(MAX(O34,O35,IF(I54=1,0,O36)))),IF(I35="TriggerWidth",DEC2HEX(MAX(O34,IF(I54=1,0,O36),U76)),DEC2HEX(MAX(O34,O35,IF(I54=1,0,O36),U76))))</f>
        <v>0x30D</v>
      </c>
      <c r="AC56" s="277"/>
    </row>
    <row r="57" spans="6:35" ht="67.5">
      <c r="F57" s="22" t="s">
        <v>457</v>
      </c>
      <c r="G57" s="22" t="s">
        <v>32</v>
      </c>
      <c r="H57" s="27">
        <v>1500</v>
      </c>
      <c r="I57" s="41">
        <f t="shared" ref="I57:I61" si="0">B14</f>
        <v>1500</v>
      </c>
      <c r="J57" s="42" t="s">
        <v>181</v>
      </c>
      <c r="R57" s="233" t="s">
        <v>263</v>
      </c>
      <c r="S57" s="234"/>
      <c r="T57" s="234"/>
      <c r="U57" s="234"/>
      <c r="V57" s="235"/>
      <c r="X57" s="71" t="s">
        <v>637</v>
      </c>
      <c r="Y57" s="81" t="s">
        <v>638</v>
      </c>
      <c r="Z57" s="81" t="str">
        <f>IF(OR(H26="A7",H26="A7-100T"),"0x01000844",IF(H26="EFX","0xF8120844","-"))</f>
        <v>0x01000844</v>
      </c>
      <c r="AA57" s="81" t="s">
        <v>150</v>
      </c>
      <c r="AB57" s="81" t="str">
        <f>"0x"&amp;DEC2HEX(MAX(O34,O35))</f>
        <v>0x30D</v>
      </c>
      <c r="AC57" s="277"/>
    </row>
    <row r="58" spans="6:35" ht="40.5">
      <c r="F58" s="22" t="str">
        <f>"流通道包间隔(不包括12B最小值的部分) 
范围:0-"&amp;O50</f>
        <v>流通道包间隔(不包括12B最小值的部分) 
范围:0-180000</v>
      </c>
      <c r="G58" s="22" t="s">
        <v>33</v>
      </c>
      <c r="H58" s="27">
        <v>0</v>
      </c>
      <c r="I58" s="41">
        <f t="shared" si="0"/>
        <v>0</v>
      </c>
      <c r="J58" s="42" t="s">
        <v>639</v>
      </c>
      <c r="R58" s="32" t="s">
        <v>48</v>
      </c>
      <c r="S58" s="20" t="s">
        <v>49</v>
      </c>
      <c r="T58" s="20" t="s">
        <v>50</v>
      </c>
      <c r="U58" s="20" t="s">
        <v>61</v>
      </c>
      <c r="V58" s="60" t="s">
        <v>52</v>
      </c>
      <c r="X58" s="72" t="s">
        <v>156</v>
      </c>
      <c r="Y58" s="22" t="s">
        <v>640</v>
      </c>
      <c r="Z58" s="23" t="str">
        <f>IF(OR(H26="A7",H26="A7-100T"),"0x01100000",IF(H26="EFX","0xF8140000","0x77601500"))</f>
        <v>0x01100000</v>
      </c>
      <c r="AA58" s="22" t="s">
        <v>495</v>
      </c>
      <c r="AB58" s="43" t="s">
        <v>496</v>
      </c>
      <c r="AC58" s="277"/>
    </row>
    <row r="59" spans="6:35" ht="54">
      <c r="F59" s="22" t="str">
        <f>"预留带宽 
范围:0-"&amp;O52</f>
        <v>预留带宽 
范围:0-99</v>
      </c>
      <c r="G59" s="22" t="s">
        <v>38</v>
      </c>
      <c r="H59" s="27">
        <v>10</v>
      </c>
      <c r="I59" s="41">
        <f>B20</f>
        <v>10</v>
      </c>
      <c r="J59" s="42" t="s">
        <v>467</v>
      </c>
      <c r="R59" s="62" t="s">
        <v>499</v>
      </c>
      <c r="S59" s="22" t="s">
        <v>500</v>
      </c>
      <c r="T59" s="57" t="s">
        <v>265</v>
      </c>
      <c r="U59" s="58">
        <f>36</f>
        <v>36</v>
      </c>
      <c r="V59" s="63" t="s">
        <v>181</v>
      </c>
      <c r="X59" s="72" t="s">
        <v>641</v>
      </c>
      <c r="Y59" s="22" t="s">
        <v>642</v>
      </c>
      <c r="Z59" s="23" t="str">
        <f>IF(OR(H26="A7",H26="A7-100T"),"0x010007f8",IF(H26="EFX","0xF81207f8","0x77601854"))</f>
        <v>0x010007f8</v>
      </c>
      <c r="AA59" s="22" t="s">
        <v>643</v>
      </c>
      <c r="AB59" s="43" t="str">
        <f>"0x"&amp;(IF(I37="Ultra Short",0,1))</f>
        <v>0x1</v>
      </c>
      <c r="AC59" s="80" t="s">
        <v>644</v>
      </c>
    </row>
    <row r="60" spans="6:35" ht="121.5">
      <c r="F60" s="234" t="s">
        <v>243</v>
      </c>
      <c r="G60" s="234"/>
      <c r="H60" s="234"/>
      <c r="I60" s="234"/>
      <c r="J60" s="235"/>
      <c r="R60" s="62" t="s">
        <v>505</v>
      </c>
      <c r="S60" s="22" t="s">
        <v>506</v>
      </c>
      <c r="T60" s="57" t="s">
        <v>267</v>
      </c>
      <c r="U60" s="58">
        <v>10</v>
      </c>
      <c r="V60" s="63" t="s">
        <v>181</v>
      </c>
      <c r="X60" s="72" t="s">
        <v>645</v>
      </c>
      <c r="Y60" s="22" t="s">
        <v>646</v>
      </c>
      <c r="Z60" s="23" t="str">
        <f>IF(OR(H26="A7",H26="A7-100T"),"0x010007fc",IF(H26="EFX","0xF81207fc","0x77601858"))</f>
        <v>0x010007fc</v>
      </c>
      <c r="AA60" s="22" t="s">
        <v>643</v>
      </c>
      <c r="AB60" s="43" t="str">
        <f>"0x"&amp;(IF(I37="Ultra Short",0,1))</f>
        <v>0x1</v>
      </c>
      <c r="AC60" s="80" t="s">
        <v>647</v>
      </c>
    </row>
    <row r="61" spans="6:35" ht="27">
      <c r="F61" s="22" t="s">
        <v>478</v>
      </c>
      <c r="G61" s="22" t="s">
        <v>247</v>
      </c>
      <c r="H61" s="22">
        <v>0</v>
      </c>
      <c r="I61" s="41">
        <f t="shared" si="0"/>
        <v>0</v>
      </c>
      <c r="J61" s="42" t="s">
        <v>84</v>
      </c>
      <c r="R61" s="66" t="s">
        <v>648</v>
      </c>
      <c r="S61" s="23" t="s">
        <v>649</v>
      </c>
      <c r="T61" s="23" t="s">
        <v>650</v>
      </c>
      <c r="U61" s="44">
        <v>48</v>
      </c>
      <c r="V61" s="67" t="s">
        <v>181</v>
      </c>
      <c r="X61" s="71" t="s">
        <v>199</v>
      </c>
      <c r="Y61" s="81" t="s">
        <v>651</v>
      </c>
      <c r="Z61" s="82" t="str">
        <f>IF(OR(H26="A7",H26="A7-100T"),"0x0100084c",IF(H26="EFX","0xF812084c","0x7760185C"))</f>
        <v>0x0100084c</v>
      </c>
      <c r="AA61" s="81" t="s">
        <v>652</v>
      </c>
      <c r="AB61" s="81" t="str">
        <f>"0x"&amp;DEC2HEX(O34)</f>
        <v>0x224</v>
      </c>
      <c r="AC61" s="80" t="s">
        <v>653</v>
      </c>
    </row>
    <row r="62" spans="6:35" ht="81">
      <c r="F62" s="22" t="s">
        <v>243</v>
      </c>
      <c r="G62" s="22" t="s">
        <v>252</v>
      </c>
      <c r="H62" s="22">
        <f>VLOOKUP($H$27,$X$29:$AQ$45,19,FALSE)</f>
        <v>49</v>
      </c>
      <c r="I62" s="41">
        <f>B17</f>
        <v>94.5</v>
      </c>
      <c r="J62" s="42" t="s">
        <v>89</v>
      </c>
      <c r="R62" s="25" t="s">
        <v>195</v>
      </c>
      <c r="S62" s="22" t="s">
        <v>508</v>
      </c>
      <c r="T62" s="22" t="s">
        <v>654</v>
      </c>
      <c r="U62" s="43">
        <f>ROUNDDOWN(I49*I50*IF(I31=8,1,IF(OR(I31="10p",I31="12p"),1.5,2)),0)</f>
        <v>327680</v>
      </c>
      <c r="V62" s="63" t="s">
        <v>181</v>
      </c>
      <c r="X62" s="72" t="s">
        <v>655</v>
      </c>
      <c r="Y62" s="22" t="s">
        <v>656</v>
      </c>
      <c r="Z62" s="23" t="str">
        <f>IF(OR(H26="A7",H26="A7-100T"),"0x01200100",IF(H26="EFX","0xF8160100","0x7760144c"))</f>
        <v>0x01200100</v>
      </c>
      <c r="AA62" s="22" t="s">
        <v>657</v>
      </c>
      <c r="AB62" s="43" t="str">
        <f>"0x"&amp;DEC2HEX(I57-U54)</f>
        <v>0x5B8</v>
      </c>
      <c r="AC62" s="80" t="s">
        <v>658</v>
      </c>
    </row>
    <row r="63" spans="6:35" ht="33" customHeight="1">
      <c r="F63" s="278" t="s">
        <v>659</v>
      </c>
      <c r="G63" s="278"/>
      <c r="H63" s="278"/>
      <c r="I63" s="278"/>
      <c r="J63" s="279"/>
      <c r="K63" s="276" t="s">
        <v>660</v>
      </c>
      <c r="R63" s="62" t="s">
        <v>269</v>
      </c>
      <c r="S63" s="22" t="s">
        <v>510</v>
      </c>
      <c r="T63" s="22" t="s">
        <v>511</v>
      </c>
      <c r="U63" s="44">
        <f>U62+U61*I52</f>
        <v>327680</v>
      </c>
      <c r="V63" s="63" t="s">
        <v>181</v>
      </c>
      <c r="X63" s="72" t="s">
        <v>661</v>
      </c>
      <c r="Y63" s="22" t="s">
        <v>662</v>
      </c>
      <c r="Z63" s="23" t="str">
        <f>IF(OR(H26="A7",H26="A7-100T"),"0x01400080",IF(H26="EFX","0xF81A0080","0x776014c0"))</f>
        <v>0x01400080</v>
      </c>
      <c r="AA63" s="22" t="s">
        <v>663</v>
      </c>
      <c r="AB63" s="43" t="str">
        <f>"0x"&amp;DEC2HEX(IF(H26="EFX",ROUNDUP(I58*50/125,0),I58))</f>
        <v>0x0</v>
      </c>
      <c r="AC63" s="80" t="s">
        <v>664</v>
      </c>
    </row>
    <row r="64" spans="6:35" ht="67.5">
      <c r="F64" s="22" t="s">
        <v>665</v>
      </c>
      <c r="G64" s="22" t="s">
        <v>525</v>
      </c>
      <c r="H64" s="22">
        <v>1</v>
      </c>
      <c r="I64" s="41">
        <f>B8</f>
        <v>1</v>
      </c>
      <c r="J64" s="42" t="s">
        <v>84</v>
      </c>
      <c r="K64" s="276"/>
      <c r="R64" s="62" t="s">
        <v>272</v>
      </c>
      <c r="S64" s="22" t="s">
        <v>273</v>
      </c>
      <c r="T64" s="57" t="s">
        <v>274</v>
      </c>
      <c r="U64" s="73">
        <f>INT(U63/(I57-U54))</f>
        <v>223</v>
      </c>
      <c r="V64" s="63"/>
      <c r="X64" s="70" t="s">
        <v>501</v>
      </c>
      <c r="Y64" s="23" t="s">
        <v>503</v>
      </c>
      <c r="Z64" s="23" t="str">
        <f>IF(OR(H26="A7",H26="A7-100T"),"0x01100010",IF(H26="EFX","0xF8140010","0x7760147c"))</f>
        <v>0x01100010</v>
      </c>
      <c r="AA64" s="23" t="s">
        <v>666</v>
      </c>
      <c r="AB64" s="44" t="str">
        <f>"0x"&amp;DEC2HEX(ROUNDUP((O30-U40/U41*1000000/U42)/(1000000/U42),0))</f>
        <v>0x35C</v>
      </c>
      <c r="AC64" s="83" t="s">
        <v>667</v>
      </c>
    </row>
    <row r="65" spans="6:29" ht="54">
      <c r="F65" s="52" t="s">
        <v>668</v>
      </c>
      <c r="G65" s="52" t="s">
        <v>526</v>
      </c>
      <c r="H65" s="52">
        <v>1</v>
      </c>
      <c r="I65" s="93">
        <f>B9</f>
        <v>1</v>
      </c>
      <c r="J65" s="89" t="s">
        <v>84</v>
      </c>
      <c r="R65" s="62" t="s">
        <v>275</v>
      </c>
      <c r="S65" s="22" t="s">
        <v>512</v>
      </c>
      <c r="T65" s="57" t="s">
        <v>277</v>
      </c>
      <c r="U65" s="73">
        <f>U63-(I57-U54)*U64</f>
        <v>1208</v>
      </c>
      <c r="V65" s="63" t="s">
        <v>181</v>
      </c>
      <c r="X65" s="98" t="s">
        <v>669</v>
      </c>
      <c r="Y65" s="105" t="s">
        <v>670</v>
      </c>
      <c r="Z65" s="106" t="s">
        <v>671</v>
      </c>
      <c r="AA65" s="91" t="s">
        <v>672</v>
      </c>
      <c r="AB65" s="107" t="str">
        <f>"0x"&amp;DEC2HEX(U40)</f>
        <v>0x2F0</v>
      </c>
      <c r="AC65" s="108" t="s">
        <v>673</v>
      </c>
    </row>
    <row r="66" spans="6:29" ht="67.5">
      <c r="F66" s="280" t="s">
        <v>674</v>
      </c>
      <c r="G66" s="281"/>
      <c r="H66" s="281"/>
      <c r="I66" s="281"/>
      <c r="J66" s="282"/>
      <c r="R66" s="62" t="s">
        <v>278</v>
      </c>
      <c r="S66" s="22" t="s">
        <v>279</v>
      </c>
      <c r="T66" s="57" t="s">
        <v>280</v>
      </c>
      <c r="U66" s="58">
        <f>IF(MOD(U62,(I57-U54))=0,0,1)</f>
        <v>1</v>
      </c>
      <c r="V66" s="63"/>
      <c r="X66" s="98" t="s">
        <v>675</v>
      </c>
      <c r="Y66" s="105" t="s">
        <v>676</v>
      </c>
      <c r="Z66" s="106" t="s">
        <v>677</v>
      </c>
      <c r="AA66" s="91" t="s">
        <v>678</v>
      </c>
      <c r="AB66" s="107" t="str">
        <f>"0x"&amp;DEC2HEX(IF(I43="Standard",0,1))</f>
        <v>0x0</v>
      </c>
      <c r="AC66" s="108" t="s">
        <v>679</v>
      </c>
    </row>
    <row r="67" spans="6:29" ht="54">
      <c r="F67" s="62" t="s">
        <v>680</v>
      </c>
      <c r="G67" s="57" t="s">
        <v>681</v>
      </c>
      <c r="H67" s="57">
        <v>1</v>
      </c>
      <c r="I67" s="94">
        <f>B6</f>
        <v>1</v>
      </c>
      <c r="J67" s="95" t="s">
        <v>84</v>
      </c>
      <c r="R67" s="62" t="s">
        <v>281</v>
      </c>
      <c r="S67" s="22" t="s">
        <v>514</v>
      </c>
      <c r="T67" s="57" t="s">
        <v>283</v>
      </c>
      <c r="U67" s="73">
        <f>IF(U65&lt;U56,U56,U65)</f>
        <v>1208</v>
      </c>
      <c r="V67" s="63" t="s">
        <v>181</v>
      </c>
      <c r="X67" s="68"/>
    </row>
    <row r="68" spans="6:29" ht="27">
      <c r="F68" s="90" t="s">
        <v>682</v>
      </c>
      <c r="G68" s="91" t="s">
        <v>683</v>
      </c>
      <c r="H68" s="91">
        <v>1</v>
      </c>
      <c r="I68" s="96">
        <f>B7</f>
        <v>1</v>
      </c>
      <c r="J68" s="97" t="s">
        <v>84</v>
      </c>
      <c r="R68" s="62" t="s">
        <v>284</v>
      </c>
      <c r="S68" s="22" t="s">
        <v>515</v>
      </c>
      <c r="T68" s="57" t="s">
        <v>286</v>
      </c>
      <c r="U68" s="73">
        <f>U55+U54+U59</f>
        <v>98</v>
      </c>
      <c r="V68" s="63" t="s">
        <v>181</v>
      </c>
      <c r="X68" s="68"/>
    </row>
    <row r="69" spans="6:29" ht="27">
      <c r="F69" s="283" t="s">
        <v>357</v>
      </c>
      <c r="G69" s="284"/>
      <c r="H69" s="284"/>
      <c r="I69" s="284"/>
      <c r="J69" s="285"/>
      <c r="R69" s="62" t="s">
        <v>287</v>
      </c>
      <c r="S69" s="22" t="s">
        <v>516</v>
      </c>
      <c r="T69" s="57" t="s">
        <v>517</v>
      </c>
      <c r="U69" s="73">
        <f>U55+U54+U60</f>
        <v>72</v>
      </c>
      <c r="V69" s="63" t="s">
        <v>181</v>
      </c>
      <c r="X69" s="68"/>
    </row>
    <row r="70" spans="6:29" ht="81">
      <c r="F70" s="92" t="s">
        <v>60</v>
      </c>
      <c r="G70" s="273" t="s">
        <v>507</v>
      </c>
      <c r="H70" s="273"/>
      <c r="I70" s="274">
        <f>O32</f>
        <v>97.770825185764565</v>
      </c>
      <c r="J70" s="275"/>
      <c r="R70" s="62" t="s">
        <v>289</v>
      </c>
      <c r="S70" s="22" t="s">
        <v>518</v>
      </c>
      <c r="T70" s="57" t="s">
        <v>519</v>
      </c>
      <c r="U70" s="73">
        <f>U64*(I57+U55)+U66*(U67+U55+U54)</f>
        <v>341568</v>
      </c>
      <c r="V70" s="63" t="s">
        <v>181</v>
      </c>
      <c r="X70" s="68"/>
    </row>
    <row r="71" spans="6:29" ht="54">
      <c r="I71" s="31"/>
      <c r="J71" s="31"/>
      <c r="R71" s="25" t="s">
        <v>292</v>
      </c>
      <c r="S71" s="22" t="s">
        <v>520</v>
      </c>
      <c r="T71" s="22" t="s">
        <v>521</v>
      </c>
      <c r="U71" s="99">
        <f>(2+U66+U64)*(U53+I58)</f>
        <v>2712</v>
      </c>
      <c r="V71" s="40" t="s">
        <v>181</v>
      </c>
      <c r="X71" s="68"/>
    </row>
    <row r="72" spans="6:29" ht="40.5" customHeight="1">
      <c r="I72" s="31"/>
      <c r="J72" s="31"/>
      <c r="R72" s="25" t="s">
        <v>202</v>
      </c>
      <c r="S72" s="22" t="s">
        <v>522</v>
      </c>
      <c r="T72" s="22" t="s">
        <v>296</v>
      </c>
      <c r="U72" s="43">
        <f>U68+U69+U70+U71</f>
        <v>344450</v>
      </c>
      <c r="V72" s="40" t="s">
        <v>181</v>
      </c>
      <c r="X72" s="68"/>
    </row>
    <row r="73" spans="6:29" ht="27">
      <c r="F73" s="31"/>
      <c r="G73" s="31"/>
      <c r="H73" s="31"/>
      <c r="I73" s="31"/>
      <c r="J73" s="31"/>
      <c r="R73" s="25" t="s">
        <v>297</v>
      </c>
      <c r="S73" s="22" t="s">
        <v>298</v>
      </c>
      <c r="T73" s="22" t="s">
        <v>299</v>
      </c>
      <c r="U73" s="43">
        <f>INT(1000000*I56*(100-I59)/80)</f>
        <v>1125000000</v>
      </c>
      <c r="V73" s="40" t="s">
        <v>523</v>
      </c>
    </row>
    <row r="74" spans="6:29" ht="67.5">
      <c r="F74" s="31"/>
      <c r="G74" s="31"/>
      <c r="H74" s="31"/>
      <c r="I74" s="31"/>
      <c r="J74" s="31"/>
      <c r="R74" s="25" t="s">
        <v>301</v>
      </c>
      <c r="S74" s="22" t="s">
        <v>302</v>
      </c>
      <c r="T74" s="22" t="s">
        <v>684</v>
      </c>
      <c r="U74" s="43">
        <f>IF(I37="Ultra Short",ROUNDUP(U72*1000000/U73,0)*10,ROUNDUP(ROUNDUP(U72*1000000000/U73,0)*10/O30,0))</f>
        <v>234</v>
      </c>
      <c r="V74" s="42" t="str">
        <f>IF(I37="Ultra Short","us","line")</f>
        <v>line</v>
      </c>
    </row>
    <row r="75" spans="6:29" ht="60.95" customHeight="1">
      <c r="R75" s="100" t="s">
        <v>685</v>
      </c>
      <c r="S75" s="101" t="s">
        <v>686</v>
      </c>
      <c r="T75" s="101" t="s">
        <v>687</v>
      </c>
      <c r="U75" s="102">
        <f>INT(1000000*I56*(100)/80)</f>
        <v>1250000000</v>
      </c>
      <c r="V75" s="103" t="s">
        <v>523</v>
      </c>
    </row>
    <row r="76" spans="6:29" ht="67.5">
      <c r="R76" s="104" t="s">
        <v>688</v>
      </c>
      <c r="S76" s="52" t="s">
        <v>689</v>
      </c>
      <c r="T76" s="52" t="s">
        <v>684</v>
      </c>
      <c r="U76" s="53">
        <f>IF(I37="Ultra Short",ROUNDUP(U72*1000000/U75,0)*10,ROUNDUP(ROUNDUP(U72*1000000000/U75,0)*10/O30,0))</f>
        <v>211</v>
      </c>
      <c r="V76" s="89" t="str">
        <f>IF(I29="Ultra Short","us","line")</f>
        <v>line</v>
      </c>
    </row>
    <row r="78" spans="6:29">
      <c r="R78" s="31"/>
      <c r="S78" s="31"/>
      <c r="T78" s="31"/>
      <c r="U78" s="31"/>
      <c r="V78" s="31"/>
    </row>
    <row r="79" spans="6:29">
      <c r="R79" s="31"/>
      <c r="S79" s="31"/>
      <c r="T79" s="31"/>
      <c r="U79" s="31"/>
      <c r="V79" s="31"/>
    </row>
    <row r="80" spans="6:29">
      <c r="R80" s="31"/>
      <c r="S80" s="31"/>
      <c r="T80" s="31"/>
      <c r="U80" s="31"/>
      <c r="V80" s="31"/>
    </row>
    <row r="81" spans="18:22">
      <c r="R81" s="31"/>
      <c r="S81" s="31"/>
      <c r="T81" s="31"/>
      <c r="U81" s="31"/>
      <c r="V81" s="31"/>
    </row>
    <row r="82" spans="18:22">
      <c r="R82" s="31"/>
      <c r="S82" s="31"/>
      <c r="T82" s="31"/>
      <c r="U82" s="31"/>
      <c r="V82" s="31"/>
    </row>
    <row r="83" spans="18:22">
      <c r="R83" s="31"/>
      <c r="S83" s="31"/>
      <c r="T83" s="31"/>
      <c r="U83" s="31"/>
      <c r="V83" s="31"/>
    </row>
    <row r="84" spans="18:22" ht="12" customHeight="1">
      <c r="R84" s="31"/>
      <c r="S84" s="31"/>
      <c r="T84" s="31"/>
      <c r="U84" s="31"/>
      <c r="V84" s="31"/>
    </row>
    <row r="85" spans="18:22">
      <c r="R85" s="31"/>
      <c r="S85" s="31"/>
      <c r="T85" s="31"/>
      <c r="U85" s="31"/>
      <c r="V85" s="31"/>
    </row>
    <row r="86" spans="18:22" ht="20.25" customHeight="1">
      <c r="R86" s="31"/>
      <c r="S86" s="31"/>
      <c r="T86" s="31"/>
      <c r="U86" s="31"/>
      <c r="V86" s="31"/>
    </row>
    <row r="87" spans="18:22" ht="20.25" customHeight="1">
      <c r="R87" s="31"/>
      <c r="S87" s="31"/>
      <c r="T87" s="31"/>
      <c r="U87" s="31"/>
      <c r="V87" s="31"/>
    </row>
    <row r="88" spans="18:22">
      <c r="R88" s="31"/>
      <c r="S88" s="31"/>
      <c r="T88" s="31"/>
      <c r="U88" s="31"/>
      <c r="V88" s="31"/>
    </row>
    <row r="89" spans="18:22">
      <c r="R89" s="31"/>
      <c r="S89" s="31"/>
      <c r="T89" s="31"/>
      <c r="U89" s="31"/>
      <c r="V89" s="31"/>
    </row>
  </sheetData>
  <sheetProtection algorithmName="SHA-512" hashValue="vI5SAcNl3gZarP2lNINy1v6/zyYQv0c8IMMgJ1s37h02x/vNB7rcUn8mlbMJJNBzt7BorX/O7MZGs/RujFrsxA==" saltValue="lGPop1amFM2jJD0TE9qz3w==" spinCount="100000" sheet="1" objects="1" scenarios="1"/>
  <mergeCells count="34">
    <mergeCell ref="L27:P27"/>
    <mergeCell ref="R27:V27"/>
    <mergeCell ref="X27:AS27"/>
    <mergeCell ref="F28:J28"/>
    <mergeCell ref="R28:V28"/>
    <mergeCell ref="L29:P29"/>
    <mergeCell ref="F30:J30"/>
    <mergeCell ref="F33:J33"/>
    <mergeCell ref="L33:P33"/>
    <mergeCell ref="L38:P38"/>
    <mergeCell ref="F41:J41"/>
    <mergeCell ref="R43:V43"/>
    <mergeCell ref="F44:J44"/>
    <mergeCell ref="L44:P44"/>
    <mergeCell ref="R44:V44"/>
    <mergeCell ref="F46:J46"/>
    <mergeCell ref="X47:AC47"/>
    <mergeCell ref="L48:P48"/>
    <mergeCell ref="X48:AC48"/>
    <mergeCell ref="L49:P49"/>
    <mergeCell ref="G70:H70"/>
    <mergeCell ref="I70:J70"/>
    <mergeCell ref="K63:K64"/>
    <mergeCell ref="AC50:AC58"/>
    <mergeCell ref="R57:V57"/>
    <mergeCell ref="F60:J60"/>
    <mergeCell ref="F63:J63"/>
    <mergeCell ref="F66:J66"/>
    <mergeCell ref="F69:J69"/>
    <mergeCell ref="F51:J51"/>
    <mergeCell ref="L51:P51"/>
    <mergeCell ref="F53:J53"/>
    <mergeCell ref="L53:P53"/>
    <mergeCell ref="F55:J55"/>
  </mergeCells>
  <phoneticPr fontId="16" type="noConversion"/>
  <conditionalFormatting sqref="I31">
    <cfRule type="expression" priority="1">
      <formula>IF(I32=8,8)</formula>
    </cfRule>
  </conditionalFormatting>
  <conditionalFormatting sqref="S127">
    <cfRule type="cellIs" dxfId="26" priority="23" operator="equal">
      <formula>"*"</formula>
    </cfRule>
    <cfRule type="cellIs" dxfId="25" priority="24" operator="equal">
      <formula>"-"</formula>
    </cfRule>
    <cfRule type="cellIs" dxfId="24" priority="25" operator="equal">
      <formula>"-"</formula>
    </cfRule>
    <cfRule type="cellIs" dxfId="23" priority="26" operator="equal">
      <formula>"-"</formula>
    </cfRule>
  </conditionalFormatting>
  <conditionalFormatting sqref="S128">
    <cfRule type="cellIs" dxfId="22" priority="19" operator="equal">
      <formula>"*"</formula>
    </cfRule>
    <cfRule type="cellIs" dxfId="21" priority="20" operator="equal">
      <formula>"-"</formula>
    </cfRule>
    <cfRule type="cellIs" dxfId="20" priority="21" operator="equal">
      <formula>"-"</formula>
    </cfRule>
    <cfRule type="cellIs" dxfId="19" priority="22" operator="equal">
      <formula>"-"</formula>
    </cfRule>
  </conditionalFormatting>
  <conditionalFormatting sqref="S129">
    <cfRule type="cellIs" dxfId="18" priority="15" operator="equal">
      <formula>"*"</formula>
    </cfRule>
    <cfRule type="cellIs" dxfId="17" priority="16" operator="equal">
      <formula>"-"</formula>
    </cfRule>
    <cfRule type="cellIs" dxfId="16" priority="17" operator="equal">
      <formula>"-"</formula>
    </cfRule>
    <cfRule type="cellIs" dxfId="15" priority="18" operator="equal">
      <formula>"-"</formula>
    </cfRule>
  </conditionalFormatting>
  <conditionalFormatting sqref="S130">
    <cfRule type="cellIs" dxfId="14" priority="11" operator="equal">
      <formula>"*"</formula>
    </cfRule>
    <cfRule type="cellIs" dxfId="13" priority="12" operator="equal">
      <formula>"-"</formula>
    </cfRule>
    <cfRule type="cellIs" dxfId="12" priority="13" operator="equal">
      <formula>"-"</formula>
    </cfRule>
    <cfRule type="cellIs" dxfId="11" priority="14" operator="equal">
      <formula>"-"</formula>
    </cfRule>
  </conditionalFormatting>
  <conditionalFormatting sqref="S131">
    <cfRule type="cellIs" dxfId="10" priority="7" operator="equal">
      <formula>"*"</formula>
    </cfRule>
    <cfRule type="cellIs" dxfId="9" priority="8" operator="equal">
      <formula>"-"</formula>
    </cfRule>
    <cfRule type="cellIs" dxfId="8" priority="9" operator="equal">
      <formula>"-"</formula>
    </cfRule>
    <cfRule type="cellIs" dxfId="7" priority="10" operator="equal">
      <formula>"-"</formula>
    </cfRule>
  </conditionalFormatting>
  <conditionalFormatting sqref="S132">
    <cfRule type="cellIs" dxfId="6" priority="3" operator="equal">
      <formula>"*"</formula>
    </cfRule>
    <cfRule type="cellIs" dxfId="5" priority="4" operator="equal">
      <formula>"-"</formula>
    </cfRule>
    <cfRule type="cellIs" dxfId="4" priority="5" operator="equal">
      <formula>"-"</formula>
    </cfRule>
    <cfRule type="cellIs" dxfId="3" priority="6" operator="equal">
      <formula>"-"</formula>
    </cfRule>
  </conditionalFormatting>
  <conditionalFormatting sqref="W137:W142">
    <cfRule type="cellIs" dxfId="2" priority="27" operator="equal">
      <formula>"固件初始化&amp;动态访问"</formula>
    </cfRule>
    <cfRule type="cellIs" dxfId="1" priority="28" operator="equal">
      <formula>"固件初始化"</formula>
    </cfRule>
    <cfRule type="cellIs" dxfId="0" priority="29" operator="equal">
      <formula>"固件动态访问"</formula>
    </cfRule>
  </conditionalFormatting>
  <dataValidations count="38">
    <dataValidation allowBlank="1" showErrorMessage="1" promptTitle="参数变化" prompt="该参数会根据当前生效的水平像素Binning、水平像素抽样变化" sqref="B2"/>
    <dataValidation type="list" allowBlank="1" showInputMessage="1" showErrorMessage="1" sqref="H26">
      <formula1>"S6,A7,EFX,A7-100T"</formula1>
    </dataValidation>
    <dataValidation allowBlank="1" showInputMessage="1" showErrorMessage="1" error="输入范围是64~1024，步长为2" sqref="A1:B1"/>
    <dataValidation type="list" allowBlank="1" showInputMessage="1" showErrorMessage="1" sqref="B19 I56">
      <formula1>"1000,100"</formula1>
    </dataValidation>
    <dataValidation allowBlank="1" showErrorMessage="1" promptTitle="参数变化" prompt="该参数会根据当前生效的垂直像素Binning、垂直像素抽样变化" sqref="B3"/>
    <dataValidation type="custom" allowBlank="1" showInputMessage="1" showErrorMessage="1" errorTitle="输入数值非法" error="The input range is 2 to the maximum image height, with a step size of 2." sqref="B5">
      <formula1>AND((B5&lt;=B3),(B5&gt;=2),(MOD(B5,2)=0))</formula1>
    </dataValidation>
    <dataValidation type="list" allowBlank="1" showInputMessage="1" showErrorMessage="1" errorTitle="超出范围" error="曝光时间的范围是63us-1s" sqref="I37">
      <formula1>"Standard,Ultra Short"</formula1>
    </dataValidation>
    <dataValidation type="custom" allowBlank="1" showInputMessage="1" showErrorMessage="1" errorTitle="输入数值非法" error="The input range is 4 to the maximum image width, with a step size of 4." sqref="B4">
      <formula1>AND((B4&lt;=B2),(B4&gt;=4),(MOD(B4,4)=0))</formula1>
    </dataValidation>
    <dataValidation type="custom" allowBlank="1" showInputMessage="1" showErrorMessage="1" error="The input parameter value is either 1 or 2." sqref="B6 B7 B8 B9">
      <formula1>OR((B6=1),(B6=2))</formula1>
    </dataValidation>
    <dataValidation type="list" allowBlank="1" showInputMessage="1" showErrorMessage="1" errorTitle="超出范围" error="0:关闭_x000a_1:打开" sqref="I61">
      <formula1>"0,1"</formula1>
    </dataValidation>
    <dataValidation type="whole" allowBlank="1" showInputMessage="1" showErrorMessage="1" errorTitle="超出范围" error="The range of exposure time is 13 microseconds to 15 seconds" sqref="B10">
      <formula1>13</formula1>
      <formula2>15000000</formula2>
    </dataValidation>
    <dataValidation type="list" allowBlank="1" showInputMessage="1" showErrorMessage="1" errorTitle="超出范围" error="Please enter 0 or 1." sqref="B18">
      <formula1>"0,1"</formula1>
    </dataValidation>
    <dataValidation type="whole" allowBlank="1" showInputMessage="1" showErrorMessage="1" error="The input range is [0, 5000], with the unit being microseconds (us)." sqref="B11">
      <formula1>0</formula1>
      <formula2>5000</formula2>
    </dataValidation>
    <dataValidation type="list" allowBlank="1" showInputMessage="1" showErrorMessage="1" sqref="B12">
      <formula1>"8,10,10p,12,12p"</formula1>
    </dataValidation>
    <dataValidation type="list" allowBlank="1" showInputMessage="1" showErrorMessage="1" sqref="B13 I32">
      <formula1>"8,10,12"</formula1>
    </dataValidation>
    <dataValidation type="custom" allowBlank="1" showInputMessage="1" showErrorMessage="1" error="The input range is 512 to 8192, with a step size of 4." sqref="B14">
      <formula1>AND((B14&lt;=8192),(B14&gt;=512),(MOD(B14,4)=0))</formula1>
    </dataValidation>
    <dataValidation type="custom" allowBlank="1" showInputMessage="1" showErrorMessage="1" sqref="I57">
      <formula1>AND(MOD(I57,4)=0,I57&gt;=512,I57&lt;=16384)</formula1>
    </dataValidation>
    <dataValidation type="whole" allowBlank="1" showInputMessage="1" showErrorMessage="1" error="Please set the value range from 0 to the maximum packet interval." sqref="B15">
      <formula1>0</formula1>
      <formula2>B16</formula2>
    </dataValidation>
    <dataValidation type="custom" allowBlank="1" showInputMessage="1" showErrorMessage="1" error="Please set the value range from 0.1 to 10000.0, with precision up to one decimal place." sqref="B17">
      <formula1>AND(TRUNC(B17,1)=B17,(B17&gt;=0.1),(B17&lt;=10000))</formula1>
    </dataValidation>
    <dataValidation type="whole" allowBlank="1" showInputMessage="1" showErrorMessage="1" error="Please set the range from 0 to the maximum reserved bandwidth" sqref="B20">
      <formula1>0</formula1>
      <formula2>B21</formula2>
    </dataValidation>
    <dataValidation type="list" allowBlank="1" showInputMessage="1" showErrorMessage="1" sqref="B22 I34 I52 I54">
      <formula1>"0,1"</formula1>
    </dataValidation>
    <dataValidation type="list" allowBlank="1" showInputMessage="1" showErrorMessage="1" sqref="B23">
      <formula1>"Standard,Ultra Short"</formula1>
    </dataValidation>
    <dataValidation type="list" allowBlank="1" showInputMessage="1" showErrorMessage="1" sqref="H27">
      <formula1>$X$29:$X$37</formula1>
    </dataValidation>
    <dataValidation type="list" allowBlank="1" showInputMessage="1" showErrorMessage="1" errorTitle="位深不可大于像素格式" sqref="I31">
      <formula1>"8,10,10p,12,12p"</formula1>
    </dataValidation>
    <dataValidation type="list" allowBlank="1" showInputMessage="1" showErrorMessage="1" sqref="I35">
      <formula1>"Timed,TriggerWidth"</formula1>
    </dataValidation>
    <dataValidation type="whole" operator="lessThanOrEqual" allowBlank="1" showInputMessage="1" showErrorMessage="1" errorTitle="超出范围" error="ExposureOverlapTimeMax应小于（读出时间-两次曝光间隔最小值）" sqref="I36">
      <formula1>INT((O34-U36)*O30/1000)</formula1>
    </dataValidation>
    <dataValidation type="whole" allowBlank="1" showInputMessage="1" showErrorMessage="1" errorTitle="输入数值非法" error="最小值64，最大值D13" sqref="I50">
      <formula1>8</formula1>
      <formula2>H50</formula2>
    </dataValidation>
    <dataValidation type="whole" allowBlank="1" showInputMessage="1" showErrorMessage="1" errorTitle="超出范围" error="曝光延迟的范围是0-5000us" sqref="I39">
      <formula1>0</formula1>
      <formula2>5000</formula2>
    </dataValidation>
    <dataValidation type="whole" operator="greaterThan" allowBlank="1" showInputMessage="1" showErrorMessage="1" error="触发信号长度需要大于0" sqref="I40">
      <formula1>0</formula1>
    </dataValidation>
    <dataValidation type="list" allowBlank="1" showInputMessage="1" showErrorMessage="1" errorTitle="超出范围" error="曝光时间的范围是20us-1s" sqref="I42">
      <formula1>"0,1"</formula1>
    </dataValidation>
    <dataValidation type="list" allowBlank="1" showInputMessage="1" showErrorMessage="1" errorTitle="超出范围" error="曝光时间的范围是63us-1s" prompt="突发采集模式只能在触发模式下选择" sqref="I43">
      <formula1>"Standard,HighSpeed"</formula1>
    </dataValidation>
    <dataValidation type="whole" allowBlank="1" showInputMessage="1" showErrorMessage="1" errorTitle="超出范围" error="触发延时的范围是0-3000000us" sqref="I45">
      <formula1>0</formula1>
      <formula2>3000000</formula2>
    </dataValidation>
    <dataValidation type="whole" allowBlank="1" showInputMessage="1" showErrorMessage="1" errorTitle="输入数值非法" error="最小值64，最大值D12" sqref="I49">
      <formula1>8</formula1>
      <formula2>H49</formula2>
    </dataValidation>
    <dataValidation type="whole" allowBlank="1" showInputMessage="1" showErrorMessage="1" errorTitle="设置值超出范围" error="包间隔设置值超出范围" sqref="I58">
      <formula1>0</formula1>
      <formula2>O50</formula2>
    </dataValidation>
    <dataValidation type="whole" allowBlank="1" showInputMessage="1" showErrorMessage="1" errorTitle="设置值超出范围" error="预留带宽设置值超出范围" sqref="I59">
      <formula1>0</formula1>
      <formula2>O52</formula2>
    </dataValidation>
    <dataValidation type="decimal" allowBlank="1" showInputMessage="1" showErrorMessage="1" sqref="I62">
      <formula1>0.1</formula1>
      <formula2>10000</formula2>
    </dataValidation>
    <dataValidation type="list" allowBlank="1" showInputMessage="1" showErrorMessage="1" sqref="F85">
      <formula1>$F$90:$F$93</formula1>
    </dataValidation>
    <dataValidation type="list" allowBlank="1" showInputMessage="1" showErrorMessage="1" sqref="I63:I65 I67:I68">
      <formula1>"1,2"</formula1>
    </dataValidation>
  </dataValidations>
  <pageMargins left="0.75" right="0.75" top="1" bottom="1" header="0.5" footer="0.5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1138bfe49d0e152f1169ae111dc5ecb4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64b345e4a905996984665cacf4db4a14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2bac63-7935-4451-9bf4-ebd134ce4d3a" xsi:nil="true"/>
    <lcf76f155ced4ddcb4097134ff3c332f xmlns="8e9a8bac-6399-41e0-ae29-be0bac2197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882D6C-DDF0-4A53-80EA-E14E62FC576B}"/>
</file>

<file path=customXml/itemProps2.xml><?xml version="1.0" encoding="utf-8"?>
<ds:datastoreItem xmlns:ds="http://schemas.openxmlformats.org/officeDocument/2006/customXml" ds:itemID="{DAE8EEDA-2FA3-4102-9FC0-23E215C249B9}"/>
</file>

<file path=customXml/itemProps3.xml><?xml version="1.0" encoding="utf-8"?>
<ds:datastoreItem xmlns:ds="http://schemas.openxmlformats.org/officeDocument/2006/customXml" ds:itemID="{67A2CDFD-8FBF-47F9-9224-33F941A7F9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Revision History</vt:lpstr>
      <vt:lpstr>MARS-1230-9GX-P</vt:lpstr>
      <vt:lpstr>MARS-880-13GX-P</vt:lpstr>
      <vt:lpstr>MARS-3140-3GX-P</vt:lpstr>
      <vt:lpstr>MARS-2622-4GX-P-NIR-ETR</vt:lpstr>
      <vt:lpstr>MARS-138-95GM-P-TN-SWIR</vt:lpstr>
      <vt:lpstr>MARS-033-262GM-P-TN-SWIR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hanxue</dc:creator>
  <cp:lastModifiedBy>zhangpeifen</cp:lastModifiedBy>
  <dcterms:created xsi:type="dcterms:W3CDTF">2016-03-14T05:10:00Z</dcterms:created>
  <dcterms:modified xsi:type="dcterms:W3CDTF">2024-06-13T05:43:27Z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5D87D647D2514631BF589495735380B0</vt:lpwstr>
  </property>
  <property fmtid="{D5CDD505-2E9C-101B-9397-08002B2CF9AE}" pid="3" name="KSOProductBuildVer">
    <vt:lpwstr>2052-11.1.0.14309</vt:lpwstr>
  </property>
  <property fmtid="{D5CDD505-2E9C-101B-9397-08002B2CF9AE}" pid="4" name="ContentTypeId">
    <vt:lpwstr>0x01010018B1D4FD92196841803EE860CCD88BE3</vt:lpwstr>
  </property>
</Properties>
</file>