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7.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worksheets/sheet1.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worksheets/sheet10.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1.xml" ContentType="application/vnd.openxmlformats-officedocument.spreadsheetml.worksheet+xml"/>
  <Override PartName="/xl/worksheets/sheet12.xml" ContentType="application/vnd.openxmlformats-officedocument.spreadsheetml.worksheet+xml"/>
  <Override PartName="/xl/worksheets/sheet14.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15.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2.xml" ContentType="application/vnd.openxmlformats-officedocument.drawing+xml"/>
  <Override PartName="/xl/comments3.xml" ContentType="application/vnd.openxmlformats-officedocument.spreadsheetml.comments+xml"/>
  <Override PartName="/docProps/custom.xml" ContentType="application/vnd.openxmlformats-officedocument.custom-properties+xml"/>
  <Override PartName="/docProps/core.xml" ContentType="application/vnd.openxmlformats-package.core-properties+xml"/>
  <Override PartName="/xl/comments5.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customXml/itemProps1.xml" ContentType="application/vnd.openxmlformats-officedocument.customXmlProperties+xml"/>
  <Override PartName="/xl/calcChain.xml" ContentType="application/vnd.openxmlformats-officedocument.spreadsheetml.calcChain+xml"/>
  <Override PartName="/xl/comments8.xml" ContentType="application/vnd.openxmlformats-officedocument.spreadsheetml.comment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E:\chen\015_Risc-V\工具\1111\"/>
    </mc:Choice>
  </mc:AlternateContent>
  <bookViews>
    <workbookView xWindow="0" yWindow="0" windowWidth="19200" windowHeight="17790" activeTab="1"/>
  </bookViews>
  <sheets>
    <sheet name="Revision History" sheetId="2" r:id="rId1"/>
    <sheet name="MARS-321-176GTM-TN-SWIR" sheetId="17" r:id="rId2"/>
    <sheet name="MARS-533-134GTM-TN-SWIR" sheetId="16" r:id="rId3"/>
    <sheet name="MARS-561-207GTX" sheetId="8" r:id="rId4"/>
    <sheet name="MARS-900-120GTX" sheetId="9" r:id="rId5"/>
    <sheet name="MARS-1261-90GTX" sheetId="10" r:id="rId6"/>
    <sheet name="MARS-1610-52GTX" sheetId="12" r:id="rId7"/>
    <sheet name="MARS-1840-63GTX" sheetId="7" r:id="rId8"/>
    <sheet name="MARS-2020-42GTX" sheetId="13" r:id="rId9"/>
    <sheet name="MARS-2440-35GTX" sheetId="11" r:id="rId10"/>
    <sheet name="MARS-2621-24GTX" sheetId="6" r:id="rId11"/>
    <sheet name="MARS-5000-24GTX" sheetId="5" r:id="rId12"/>
    <sheet name="MARS-6500-18GTX" sheetId="4" r:id="rId13"/>
    <sheet name="MARS-280-409GTX" sheetId="18" r:id="rId14"/>
    <sheet name="MARS-170-662GTX" sheetId="19" r:id="rId15"/>
  </sheets>
  <calcPr calcId="152511"/>
</workbook>
</file>

<file path=xl/calcChain.xml><?xml version="1.0" encoding="utf-8"?>
<calcChain xmlns="http://schemas.openxmlformats.org/spreadsheetml/2006/main">
  <c r="B3" i="17" l="1"/>
  <c r="D78" i="19" l="1"/>
  <c r="AE38" i="19" s="1"/>
  <c r="P42" i="19" s="1"/>
  <c r="I77" i="19"/>
  <c r="D77" i="19"/>
  <c r="J73" i="19"/>
  <c r="J74" i="19" s="1"/>
  <c r="T72" i="19"/>
  <c r="D69" i="19"/>
  <c r="C69" i="19"/>
  <c r="J68" i="19"/>
  <c r="D68" i="19"/>
  <c r="P67" i="19"/>
  <c r="D66" i="19"/>
  <c r="D64" i="19"/>
  <c r="W73" i="19" s="1"/>
  <c r="P63" i="19"/>
  <c r="D63" i="19"/>
  <c r="P84" i="19" s="1"/>
  <c r="P62" i="19"/>
  <c r="P64" i="19" s="1"/>
  <c r="J58" i="19"/>
  <c r="W74" i="19" s="1"/>
  <c r="J57" i="19"/>
  <c r="W75" i="19" s="1"/>
  <c r="D57" i="19"/>
  <c r="D56" i="19"/>
  <c r="P70" i="19" s="1"/>
  <c r="P51" i="19"/>
  <c r="K51" i="19"/>
  <c r="P50" i="19"/>
  <c r="P49" i="19"/>
  <c r="K49" i="19"/>
  <c r="D49" i="19"/>
  <c r="J64" i="19" s="1"/>
  <c r="P48" i="19"/>
  <c r="P47" i="19"/>
  <c r="K47" i="19"/>
  <c r="P46" i="19"/>
  <c r="K45" i="19"/>
  <c r="D45" i="19"/>
  <c r="K44" i="19"/>
  <c r="D44" i="19"/>
  <c r="C44" i="19"/>
  <c r="K43" i="19"/>
  <c r="K42" i="19"/>
  <c r="P41" i="19"/>
  <c r="D40" i="19"/>
  <c r="P39" i="19"/>
  <c r="AM38" i="19"/>
  <c r="C57" i="19" s="1"/>
  <c r="AL38" i="19"/>
  <c r="C56" i="19" s="1"/>
  <c r="Y38" i="19"/>
  <c r="P40" i="19" s="1"/>
  <c r="P38" i="19"/>
  <c r="AL37" i="19"/>
  <c r="AD37" i="19"/>
  <c r="AC37" i="19"/>
  <c r="AA37" i="19"/>
  <c r="Z37" i="19"/>
  <c r="Y37" i="19"/>
  <c r="D36" i="19"/>
  <c r="AF38" i="19" s="1"/>
  <c r="P44" i="19" s="1"/>
  <c r="C32" i="19"/>
  <c r="C31" i="19"/>
  <c r="D11" i="19"/>
  <c r="D6" i="19"/>
  <c r="B4" i="19"/>
  <c r="B3" i="19"/>
  <c r="I32" i="19" s="1"/>
  <c r="D23" i="19" s="1"/>
  <c r="I78" i="18"/>
  <c r="P77" i="18"/>
  <c r="W76" i="18"/>
  <c r="D76" i="18"/>
  <c r="D75" i="18"/>
  <c r="AL38" i="18" s="1"/>
  <c r="C57" i="18" s="1"/>
  <c r="T73" i="18"/>
  <c r="D70" i="18"/>
  <c r="C70" i="18"/>
  <c r="J69" i="18"/>
  <c r="D69" i="18"/>
  <c r="P68" i="18"/>
  <c r="D67" i="18"/>
  <c r="J56" i="18" s="1"/>
  <c r="D65" i="18"/>
  <c r="P64" i="18"/>
  <c r="P78" i="18" s="1"/>
  <c r="D64" i="18"/>
  <c r="P85" i="18" s="1"/>
  <c r="P63" i="18"/>
  <c r="P65" i="18" s="1"/>
  <c r="J59" i="18"/>
  <c r="W75" i="18" s="1"/>
  <c r="J58" i="18"/>
  <c r="D58" i="18"/>
  <c r="D57" i="18"/>
  <c r="P71" i="18" s="1"/>
  <c r="K52" i="18"/>
  <c r="P51" i="18"/>
  <c r="P50" i="18"/>
  <c r="K50" i="18"/>
  <c r="D50" i="18"/>
  <c r="P49" i="18"/>
  <c r="P48" i="18"/>
  <c r="K48" i="18"/>
  <c r="P47" i="18"/>
  <c r="J49" i="18" s="1"/>
  <c r="P46" i="18"/>
  <c r="K46" i="18"/>
  <c r="D46" i="18"/>
  <c r="K45" i="18"/>
  <c r="D45" i="18"/>
  <c r="C45" i="18"/>
  <c r="K44" i="18"/>
  <c r="K43" i="18"/>
  <c r="D41" i="18"/>
  <c r="P40" i="18"/>
  <c r="AU39" i="18"/>
  <c r="AM39" i="18"/>
  <c r="AL39" i="18"/>
  <c r="AG39" i="18"/>
  <c r="Y39" i="18"/>
  <c r="P39" i="18"/>
  <c r="AM38" i="18"/>
  <c r="C58" i="18" s="1"/>
  <c r="AE38" i="18"/>
  <c r="P43" i="18" s="1"/>
  <c r="AD38" i="18"/>
  <c r="AC38" i="18"/>
  <c r="AA38" i="18"/>
  <c r="Z38" i="18"/>
  <c r="P42" i="18" s="1"/>
  <c r="Y38" i="18"/>
  <c r="P41" i="18" s="1"/>
  <c r="D37" i="18"/>
  <c r="AF39" i="18" s="1"/>
  <c r="C31" i="18"/>
  <c r="C30" i="18"/>
  <c r="B2" i="18" s="1"/>
  <c r="D10" i="18"/>
  <c r="B3" i="18"/>
  <c r="D5" i="18" s="1"/>
  <c r="W74" i="18" l="1"/>
  <c r="P77" i="19"/>
  <c r="P74" i="19"/>
  <c r="P71" i="19"/>
  <c r="J42" i="19"/>
  <c r="W63" i="19"/>
  <c r="J38" i="19"/>
  <c r="W71" i="19"/>
  <c r="AG38" i="19"/>
  <c r="P45" i="19" s="1"/>
  <c r="J48" i="19"/>
  <c r="P76" i="19"/>
  <c r="K48" i="19"/>
  <c r="J65" i="19"/>
  <c r="W70" i="19"/>
  <c r="AU38" i="19"/>
  <c r="P43" i="19" s="1"/>
  <c r="D5" i="19"/>
  <c r="AM37" i="19"/>
  <c r="AP37" i="19"/>
  <c r="J51" i="19"/>
  <c r="AU37" i="19"/>
  <c r="AE37" i="19"/>
  <c r="AF37" i="19"/>
  <c r="P81" i="19"/>
  <c r="J55" i="19"/>
  <c r="J74" i="18"/>
  <c r="J75" i="18" s="1"/>
  <c r="I31" i="18"/>
  <c r="D22" i="18" s="1"/>
  <c r="P75" i="18"/>
  <c r="P72" i="18"/>
  <c r="W64" i="18"/>
  <c r="J39" i="18"/>
  <c r="W72" i="18"/>
  <c r="K49" i="18"/>
  <c r="J66" i="18"/>
  <c r="W71" i="18"/>
  <c r="D4" i="18"/>
  <c r="AF38" i="18"/>
  <c r="P45" i="18" s="1"/>
  <c r="J43" i="18" s="1"/>
  <c r="J52" i="18"/>
  <c r="AP38" i="18"/>
  <c r="P52" i="18" s="1"/>
  <c r="AU38" i="18"/>
  <c r="P44" i="18" s="1"/>
  <c r="P82" i="18"/>
  <c r="J65" i="18"/>
  <c r="AE39" i="18"/>
  <c r="D57" i="16"/>
  <c r="D57" i="17"/>
  <c r="D65" i="17"/>
  <c r="D88" i="17"/>
  <c r="D87" i="17"/>
  <c r="D85" i="17"/>
  <c r="D84" i="17"/>
  <c r="D82" i="17"/>
  <c r="D81" i="17"/>
  <c r="D79" i="17"/>
  <c r="D78" i="17"/>
  <c r="D77" i="17"/>
  <c r="D76" i="17"/>
  <c r="D70" i="17"/>
  <c r="D69" i="17"/>
  <c r="D52" i="17"/>
  <c r="D51" i="17"/>
  <c r="J50" i="19" l="1"/>
  <c r="J66" i="19"/>
  <c r="W65" i="19" s="1"/>
  <c r="J44" i="19"/>
  <c r="C46" i="19"/>
  <c r="B46" i="19"/>
  <c r="W62" i="19"/>
  <c r="J47" i="19"/>
  <c r="P72" i="19"/>
  <c r="P73" i="19" s="1"/>
  <c r="P75" i="19" s="1"/>
  <c r="P79" i="19"/>
  <c r="H75" i="19"/>
  <c r="J49" i="19"/>
  <c r="W64" i="19" s="1"/>
  <c r="C47" i="18"/>
  <c r="B47" i="18"/>
  <c r="W63" i="18"/>
  <c r="J50" i="18"/>
  <c r="W65" i="18" s="1"/>
  <c r="J67" i="18"/>
  <c r="W66" i="18" s="1"/>
  <c r="J45" i="18"/>
  <c r="H76" i="18"/>
  <c r="P73" i="18"/>
  <c r="J51" i="18"/>
  <c r="J48" i="18"/>
  <c r="B2" i="17"/>
  <c r="C4" i="17" s="1"/>
  <c r="C5" i="17"/>
  <c r="AE49" i="17"/>
  <c r="AF49" i="17"/>
  <c r="P50" i="17"/>
  <c r="AB68" i="17" s="1"/>
  <c r="AB69" i="17" s="1"/>
  <c r="AE50" i="17"/>
  <c r="AF50" i="17"/>
  <c r="A51" i="17"/>
  <c r="P51" i="17"/>
  <c r="P52" i="17"/>
  <c r="P53" i="17"/>
  <c r="AE68" i="17" s="1"/>
  <c r="K54" i="17"/>
  <c r="K55" i="17"/>
  <c r="P55" i="17"/>
  <c r="K56" i="17"/>
  <c r="P56" i="17"/>
  <c r="K57" i="17"/>
  <c r="P57" i="17"/>
  <c r="C58" i="17"/>
  <c r="K58" i="17"/>
  <c r="P58" i="17"/>
  <c r="J59" i="17"/>
  <c r="K59" i="17"/>
  <c r="P59" i="17"/>
  <c r="W85" i="17" s="1"/>
  <c r="P60" i="17"/>
  <c r="K61" i="17"/>
  <c r="P61" i="17"/>
  <c r="K62" i="17"/>
  <c r="J65" i="17"/>
  <c r="K65" i="17"/>
  <c r="C69" i="17"/>
  <c r="J69" i="17"/>
  <c r="AG69" i="17"/>
  <c r="C70" i="17"/>
  <c r="AG70" i="17"/>
  <c r="AH70" i="17" s="1"/>
  <c r="J71" i="17"/>
  <c r="W83" i="17" s="1"/>
  <c r="J72" i="17"/>
  <c r="B21" i="17" s="1"/>
  <c r="P72" i="17"/>
  <c r="W81" i="17" s="1"/>
  <c r="W72" i="17"/>
  <c r="P73" i="17"/>
  <c r="P87" i="17" s="1"/>
  <c r="P74" i="17"/>
  <c r="P77" i="17"/>
  <c r="W78" i="17"/>
  <c r="J79" i="17"/>
  <c r="W79" i="17"/>
  <c r="J80" i="17"/>
  <c r="P80" i="17"/>
  <c r="AA73" i="17" s="1"/>
  <c r="C82" i="17"/>
  <c r="W86" i="17"/>
  <c r="P91" i="17"/>
  <c r="Q92" i="17"/>
  <c r="P93" i="17"/>
  <c r="Q94" i="17"/>
  <c r="P96" i="17"/>
  <c r="B2" i="16"/>
  <c r="C4" i="16" s="1"/>
  <c r="B3" i="16"/>
  <c r="C5" i="16" s="1"/>
  <c r="AF49" i="16"/>
  <c r="P54" i="16" s="1"/>
  <c r="P50" i="16"/>
  <c r="AB68" i="16" s="1"/>
  <c r="AB69" i="16" s="1"/>
  <c r="A51" i="16"/>
  <c r="D51" i="16"/>
  <c r="P51" i="16"/>
  <c r="D52" i="16"/>
  <c r="AE49" i="16" s="1"/>
  <c r="P52" i="16"/>
  <c r="K54" i="16"/>
  <c r="K55" i="16"/>
  <c r="P55" i="16"/>
  <c r="K56" i="16"/>
  <c r="P56" i="16"/>
  <c r="K57" i="16"/>
  <c r="P57" i="16"/>
  <c r="C58" i="16"/>
  <c r="D58" i="16"/>
  <c r="P58" i="16"/>
  <c r="D59" i="16"/>
  <c r="K59" i="16"/>
  <c r="P59" i="16"/>
  <c r="W85" i="16" s="1"/>
  <c r="K60" i="16"/>
  <c r="P60" i="16"/>
  <c r="P61" i="16"/>
  <c r="D62" i="16"/>
  <c r="K63" i="16"/>
  <c r="C69" i="16"/>
  <c r="D69" i="16"/>
  <c r="AG69" i="16"/>
  <c r="C70" i="16"/>
  <c r="D70" i="16"/>
  <c r="AG70" i="16"/>
  <c r="AH70" i="16" s="1"/>
  <c r="P72" i="16"/>
  <c r="W72" i="16"/>
  <c r="P73" i="16"/>
  <c r="P87" i="16" s="1"/>
  <c r="P74" i="16"/>
  <c r="D76" i="16"/>
  <c r="J67" i="16" s="1"/>
  <c r="D77" i="16"/>
  <c r="J77" i="16"/>
  <c r="P77" i="16"/>
  <c r="D78" i="16"/>
  <c r="J70" i="16" s="1"/>
  <c r="W82" i="16" s="1"/>
  <c r="J78" i="16"/>
  <c r="W78" i="16"/>
  <c r="D79" i="16"/>
  <c r="W79" i="16"/>
  <c r="P80" i="16"/>
  <c r="AA73" i="16" s="1"/>
  <c r="D81" i="16"/>
  <c r="W81" i="16"/>
  <c r="C82" i="16"/>
  <c r="D82" i="16"/>
  <c r="D84" i="16"/>
  <c r="D85" i="16"/>
  <c r="W86" i="16"/>
  <c r="D87" i="16"/>
  <c r="D88" i="16"/>
  <c r="P91" i="16"/>
  <c r="Q92" i="16"/>
  <c r="P93" i="16"/>
  <c r="Q94" i="16"/>
  <c r="P96" i="16"/>
  <c r="W66" i="19" l="1"/>
  <c r="J70" i="19"/>
  <c r="J43" i="19" s="1"/>
  <c r="P78" i="19"/>
  <c r="P74" i="18"/>
  <c r="P76" i="18" s="1"/>
  <c r="P79" i="18" s="1"/>
  <c r="J71" i="18"/>
  <c r="J44" i="18" s="1"/>
  <c r="W67" i="18"/>
  <c r="P80" i="18"/>
  <c r="J54" i="16"/>
  <c r="W80" i="16" s="1"/>
  <c r="AH69" i="16"/>
  <c r="P86" i="16"/>
  <c r="W69" i="17"/>
  <c r="AF68" i="17"/>
  <c r="AF69" i="17" s="1"/>
  <c r="AE69" i="17" s="1"/>
  <c r="AI69" i="17" s="1"/>
  <c r="AJ69" i="17" s="1"/>
  <c r="W82" i="17"/>
  <c r="P81" i="17"/>
  <c r="AH69" i="17"/>
  <c r="C56" i="17"/>
  <c r="J50" i="17"/>
  <c r="J64" i="17" s="1"/>
  <c r="P86" i="17"/>
  <c r="P54" i="17"/>
  <c r="J54" i="17" s="1"/>
  <c r="P53" i="16"/>
  <c r="C56" i="16"/>
  <c r="J69" i="16"/>
  <c r="W83" i="16" s="1"/>
  <c r="P84" i="16"/>
  <c r="P81" i="16"/>
  <c r="J63" i="16"/>
  <c r="P80" i="19" l="1"/>
  <c r="P85" i="19"/>
  <c r="J60" i="19" s="1"/>
  <c r="W69" i="19"/>
  <c r="P81" i="18"/>
  <c r="P86" i="18"/>
  <c r="J61" i="18" s="1"/>
  <c r="W70" i="18"/>
  <c r="AF70" i="17"/>
  <c r="AE70" i="17" s="1"/>
  <c r="AI70" i="17" s="1"/>
  <c r="AJ70" i="17" s="1"/>
  <c r="J56" i="17"/>
  <c r="J78" i="17"/>
  <c r="W73" i="17" s="1"/>
  <c r="J61" i="17"/>
  <c r="W84" i="17"/>
  <c r="J62" i="17"/>
  <c r="W70" i="17" s="1"/>
  <c r="P82" i="17"/>
  <c r="A56" i="17"/>
  <c r="W80" i="17"/>
  <c r="P82" i="16"/>
  <c r="P83" i="16" s="1"/>
  <c r="P85" i="16" s="1"/>
  <c r="W69" i="16"/>
  <c r="AE68" i="16"/>
  <c r="AF68" i="16" s="1"/>
  <c r="J50" i="16"/>
  <c r="B16" i="19" l="1"/>
  <c r="B65" i="19"/>
  <c r="P82" i="19"/>
  <c r="J45" i="19" s="1"/>
  <c r="J62" i="19"/>
  <c r="B17" i="18"/>
  <c r="B66" i="18"/>
  <c r="P83" i="18"/>
  <c r="J46" i="18" s="1"/>
  <c r="J63" i="18"/>
  <c r="AB73" i="17"/>
  <c r="P83" i="17"/>
  <c r="J55" i="17"/>
  <c r="W76" i="17" s="1"/>
  <c r="W71" i="17"/>
  <c r="AF69" i="16"/>
  <c r="AE69" i="16" s="1"/>
  <c r="AI69" i="16" s="1"/>
  <c r="AJ69" i="16" s="1"/>
  <c r="AF70" i="16"/>
  <c r="W84" i="16"/>
  <c r="J62" i="16"/>
  <c r="J60" i="16"/>
  <c r="W70" i="16" s="1"/>
  <c r="J76" i="16"/>
  <c r="W73" i="16" s="1"/>
  <c r="J56" i="16"/>
  <c r="J59" i="16"/>
  <c r="A56" i="16"/>
  <c r="P88" i="16"/>
  <c r="P89" i="16"/>
  <c r="B18" i="19" l="1"/>
  <c r="B66" i="19"/>
  <c r="F44" i="19"/>
  <c r="W68" i="19"/>
  <c r="W67" i="19"/>
  <c r="J39" i="19"/>
  <c r="J40" i="19" s="1"/>
  <c r="B15" i="18"/>
  <c r="B67" i="18"/>
  <c r="W68" i="18"/>
  <c r="W69" i="18"/>
  <c r="J40" i="18"/>
  <c r="J41" i="18" s="1"/>
  <c r="F45" i="18"/>
  <c r="P85" i="17"/>
  <c r="P84" i="17"/>
  <c r="P97" i="16"/>
  <c r="J72" i="16" s="1"/>
  <c r="P90" i="16"/>
  <c r="AE70" i="16"/>
  <c r="AI70" i="16" s="1"/>
  <c r="AJ70" i="16" s="1"/>
  <c r="AB73" i="16"/>
  <c r="W71" i="16"/>
  <c r="J55" i="16"/>
  <c r="J54" i="19" l="1"/>
  <c r="H76" i="19" s="1"/>
  <c r="J53" i="19"/>
  <c r="D80" i="19"/>
  <c r="B23" i="19"/>
  <c r="J55" i="18"/>
  <c r="H77" i="18" s="1"/>
  <c r="J54" i="18"/>
  <c r="D81" i="18"/>
  <c r="B22" i="18"/>
  <c r="P89" i="17"/>
  <c r="P88" i="17"/>
  <c r="W76" i="16"/>
  <c r="P94" i="16"/>
  <c r="W75" i="16" s="1"/>
  <c r="J74" i="16"/>
  <c r="P92" i="16"/>
  <c r="J57" i="16" s="1"/>
  <c r="J51" i="16" s="1"/>
  <c r="J52" i="16" s="1"/>
  <c r="B21" i="16"/>
  <c r="A78" i="16"/>
  <c r="H77" i="19" l="1"/>
  <c r="H78" i="19" s="1"/>
  <c r="H79" i="19"/>
  <c r="H78" i="18"/>
  <c r="H79" i="18" s="1"/>
  <c r="H80" i="18"/>
  <c r="P97" i="17"/>
  <c r="J74" i="17" s="1"/>
  <c r="P90" i="17"/>
  <c r="J66" i="16"/>
  <c r="D90" i="16"/>
  <c r="B24" i="16" s="1"/>
  <c r="J65" i="16"/>
  <c r="A79" i="16"/>
  <c r="B19" i="16"/>
  <c r="W74" i="16"/>
  <c r="P92" i="17" l="1"/>
  <c r="J58" i="17" s="1"/>
  <c r="J57" i="17" s="1"/>
  <c r="P94" i="17"/>
  <c r="W75" i="17" s="1"/>
  <c r="J76" i="17"/>
  <c r="A79" i="17" s="1"/>
  <c r="A78" i="17"/>
  <c r="B19" i="17"/>
  <c r="Z68" i="13"/>
  <c r="S66" i="13"/>
  <c r="N64" i="13"/>
  <c r="T63" i="13"/>
  <c r="N63" i="13"/>
  <c r="AG62" i="13"/>
  <c r="T62" i="13"/>
  <c r="AD61" i="13"/>
  <c r="N61" i="13"/>
  <c r="N60" i="13"/>
  <c r="N58" i="13"/>
  <c r="M58" i="13"/>
  <c r="T57" i="13"/>
  <c r="N57" i="13"/>
  <c r="N55" i="13"/>
  <c r="Z54" i="13"/>
  <c r="N54" i="13"/>
  <c r="Z71" i="13" s="1"/>
  <c r="N53" i="13"/>
  <c r="Z50" i="13"/>
  <c r="Z63" i="13" s="1"/>
  <c r="Z49" i="13"/>
  <c r="Z51" i="13" s="1"/>
  <c r="T47" i="13"/>
  <c r="AG63" i="13" s="1"/>
  <c r="T46" i="13"/>
  <c r="AG64" i="13" s="1"/>
  <c r="N46" i="13"/>
  <c r="N45" i="13"/>
  <c r="Z57" i="13" s="1"/>
  <c r="T44" i="13"/>
  <c r="U40" i="13"/>
  <c r="T40" i="13"/>
  <c r="Z38" i="13"/>
  <c r="U38" i="13"/>
  <c r="N38" i="13"/>
  <c r="T54" i="13" s="1"/>
  <c r="Z37" i="13"/>
  <c r="U37" i="13"/>
  <c r="Z36" i="13"/>
  <c r="U36" i="13"/>
  <c r="Z35" i="13"/>
  <c r="Z34" i="13"/>
  <c r="U34" i="13"/>
  <c r="N34" i="13"/>
  <c r="Z33" i="13"/>
  <c r="U33" i="13"/>
  <c r="N33" i="13"/>
  <c r="T37" i="13" s="1"/>
  <c r="AG65" i="13" s="1"/>
  <c r="M33" i="13"/>
  <c r="Z32" i="13"/>
  <c r="U32" i="13"/>
  <c r="U31" i="13"/>
  <c r="T31" i="13"/>
  <c r="Z30" i="13"/>
  <c r="Z29" i="13"/>
  <c r="N29" i="13"/>
  <c r="AW28" i="13"/>
  <c r="AV28" i="13"/>
  <c r="AO28" i="13"/>
  <c r="Z28" i="13"/>
  <c r="AW27" i="13"/>
  <c r="M46" i="13" s="1"/>
  <c r="AV27" i="13"/>
  <c r="M45" i="13" s="1"/>
  <c r="Z27" i="13"/>
  <c r="AW26" i="13"/>
  <c r="AV26" i="13"/>
  <c r="N25" i="13"/>
  <c r="S97" i="12"/>
  <c r="L97" i="12"/>
  <c r="S96" i="12"/>
  <c r="L96" i="12"/>
  <c r="S95" i="12"/>
  <c r="L95" i="12"/>
  <c r="S93" i="12"/>
  <c r="L93" i="12"/>
  <c r="S92" i="12"/>
  <c r="L92" i="12"/>
  <c r="S91" i="12"/>
  <c r="L91" i="12"/>
  <c r="S89" i="12"/>
  <c r="L89" i="12"/>
  <c r="S88" i="12"/>
  <c r="L88" i="12"/>
  <c r="S87" i="12"/>
  <c r="L87" i="12"/>
  <c r="S85" i="12"/>
  <c r="L85" i="12"/>
  <c r="S84" i="12"/>
  <c r="L84" i="12"/>
  <c r="S83" i="12"/>
  <c r="T100" i="12" s="1"/>
  <c r="L83" i="12"/>
  <c r="M100" i="12" s="1"/>
  <c r="AQ28" i="12" s="1"/>
  <c r="AA33" i="12" s="1"/>
  <c r="T65" i="12"/>
  <c r="O64" i="12"/>
  <c r="AE62" i="12"/>
  <c r="O62" i="12"/>
  <c r="O61" i="12"/>
  <c r="AH60" i="12"/>
  <c r="O59" i="12"/>
  <c r="N59" i="12"/>
  <c r="U58" i="12"/>
  <c r="O58" i="12"/>
  <c r="O56" i="12"/>
  <c r="AA69" i="12" s="1"/>
  <c r="AA55" i="12"/>
  <c r="U55" i="12"/>
  <c r="O55" i="12"/>
  <c r="U54" i="12"/>
  <c r="AA51" i="12"/>
  <c r="AA50" i="12"/>
  <c r="U47" i="12"/>
  <c r="AH65" i="12" s="1"/>
  <c r="O47" i="12"/>
  <c r="N47" i="12"/>
  <c r="O46" i="12"/>
  <c r="N46" i="12"/>
  <c r="U45" i="12"/>
  <c r="V41" i="12"/>
  <c r="AA39" i="12"/>
  <c r="V39" i="12"/>
  <c r="O39" i="12"/>
  <c r="AA38" i="12"/>
  <c r="AA37" i="12"/>
  <c r="U41" i="12" s="1"/>
  <c r="V37" i="12"/>
  <c r="AA36" i="12"/>
  <c r="AA35" i="12"/>
  <c r="V35" i="12"/>
  <c r="O35" i="12"/>
  <c r="V34" i="12"/>
  <c r="O34" i="12"/>
  <c r="N34" i="12"/>
  <c r="V33" i="12"/>
  <c r="V32" i="12"/>
  <c r="AA31" i="12"/>
  <c r="AA30" i="12"/>
  <c r="O30" i="12"/>
  <c r="AA29" i="12"/>
  <c r="AR28" i="12"/>
  <c r="AA34" i="12" s="1"/>
  <c r="AA28" i="12"/>
  <c r="O26" i="12"/>
  <c r="B2" i="12"/>
  <c r="AA72" i="11"/>
  <c r="AA65" i="11"/>
  <c r="T65" i="11"/>
  <c r="O64" i="11"/>
  <c r="AH63" i="11"/>
  <c r="AE62" i="11"/>
  <c r="O62" i="11"/>
  <c r="O61" i="11"/>
  <c r="AP27" i="11" s="1"/>
  <c r="AA32" i="11" s="1"/>
  <c r="AH60" i="11"/>
  <c r="O59" i="11"/>
  <c r="N59" i="11"/>
  <c r="U58" i="11"/>
  <c r="O58" i="11"/>
  <c r="O56" i="11"/>
  <c r="U45" i="11" s="1"/>
  <c r="AA55" i="11"/>
  <c r="O55" i="11"/>
  <c r="AA52" i="11"/>
  <c r="AA51" i="11"/>
  <c r="AA64" i="11" s="1"/>
  <c r="AA50" i="11"/>
  <c r="U48" i="11"/>
  <c r="AH64" i="11" s="1"/>
  <c r="U47" i="11"/>
  <c r="AH65" i="11" s="1"/>
  <c r="O47" i="11"/>
  <c r="AA58" i="11" s="1"/>
  <c r="N47" i="11"/>
  <c r="O46" i="11"/>
  <c r="N46" i="11"/>
  <c r="V41" i="11"/>
  <c r="AA39" i="11"/>
  <c r="V39" i="11"/>
  <c r="O39" i="11"/>
  <c r="U55" i="11" s="1"/>
  <c r="AA38" i="11"/>
  <c r="V38" i="11"/>
  <c r="U38" i="11"/>
  <c r="AH66" i="11" s="1"/>
  <c r="AA37" i="11"/>
  <c r="U41" i="11" s="1"/>
  <c r="V37" i="11"/>
  <c r="AA36" i="11"/>
  <c r="AA35" i="11"/>
  <c r="V35" i="11"/>
  <c r="O35" i="11"/>
  <c r="AA34" i="11"/>
  <c r="V34" i="11"/>
  <c r="O34" i="11"/>
  <c r="N34" i="11"/>
  <c r="AA33" i="11"/>
  <c r="V33" i="11"/>
  <c r="V32" i="11"/>
  <c r="AA31" i="11"/>
  <c r="AA30" i="11"/>
  <c r="O30" i="11"/>
  <c r="AR29" i="11"/>
  <c r="AQ29" i="11"/>
  <c r="AP29" i="11"/>
  <c r="AA29" i="11"/>
  <c r="AP28" i="11"/>
  <c r="AA28" i="11"/>
  <c r="O26" i="11"/>
  <c r="B2" i="11"/>
  <c r="P99" i="10"/>
  <c r="W82" i="10"/>
  <c r="P82" i="10"/>
  <c r="W81" i="10"/>
  <c r="D80" i="10"/>
  <c r="P79" i="10"/>
  <c r="P78" i="10"/>
  <c r="P92" i="10" s="1"/>
  <c r="D78" i="10"/>
  <c r="P77" i="10"/>
  <c r="W77" i="10" s="1"/>
  <c r="D77" i="10"/>
  <c r="T76" i="10"/>
  <c r="T75" i="10"/>
  <c r="J75" i="10"/>
  <c r="D75" i="10"/>
  <c r="C75" i="10"/>
  <c r="D74" i="10"/>
  <c r="J73" i="10"/>
  <c r="W72" i="10"/>
  <c r="J72" i="10"/>
  <c r="D72" i="10"/>
  <c r="W71" i="10"/>
  <c r="D71" i="10"/>
  <c r="J65" i="10" s="1"/>
  <c r="W78" i="10" s="1"/>
  <c r="D69" i="10"/>
  <c r="P96" i="10" s="1"/>
  <c r="P66" i="10"/>
  <c r="P65" i="10"/>
  <c r="P64" i="10"/>
  <c r="J64" i="10"/>
  <c r="W79" i="10" s="1"/>
  <c r="P63" i="10"/>
  <c r="D63" i="10"/>
  <c r="P62" i="10"/>
  <c r="J62" i="10"/>
  <c r="D62" i="10"/>
  <c r="P61" i="10"/>
  <c r="P59" i="10"/>
  <c r="P58" i="10"/>
  <c r="K58" i="10"/>
  <c r="P56" i="10"/>
  <c r="K56" i="10"/>
  <c r="P55" i="10"/>
  <c r="K55" i="10"/>
  <c r="D55" i="10"/>
  <c r="P54" i="10"/>
  <c r="J54" i="10"/>
  <c r="P53" i="10"/>
  <c r="K52" i="10"/>
  <c r="K51" i="10"/>
  <c r="K50" i="10"/>
  <c r="D50" i="10"/>
  <c r="K49" i="10"/>
  <c r="D49" i="10"/>
  <c r="C49" i="10"/>
  <c r="U48" i="10"/>
  <c r="P48" i="10"/>
  <c r="P47" i="10"/>
  <c r="D46" i="10"/>
  <c r="AG44" i="10" s="1"/>
  <c r="P49" i="10" s="1"/>
  <c r="P45" i="10"/>
  <c r="P46" i="10" s="1"/>
  <c r="AM44" i="10"/>
  <c r="AH44" i="10"/>
  <c r="AE44" i="10"/>
  <c r="C62" i="10" s="1"/>
  <c r="AC44" i="10"/>
  <c r="AA44" i="10"/>
  <c r="C31" i="10"/>
  <c r="C30" i="10"/>
  <c r="P87" i="9"/>
  <c r="W80" i="9"/>
  <c r="P80" i="9"/>
  <c r="W79" i="9"/>
  <c r="D78" i="9"/>
  <c r="W77" i="9"/>
  <c r="W76" i="9"/>
  <c r="D76" i="9"/>
  <c r="T75" i="9"/>
  <c r="D75" i="9"/>
  <c r="T74" i="9"/>
  <c r="P74" i="9"/>
  <c r="T73" i="9"/>
  <c r="D73" i="9"/>
  <c r="C73" i="9"/>
  <c r="T72" i="9"/>
  <c r="D72" i="9"/>
  <c r="J49" i="9" s="1"/>
  <c r="T71" i="9"/>
  <c r="T70" i="9"/>
  <c r="P70" i="9"/>
  <c r="D70" i="9"/>
  <c r="T69" i="9"/>
  <c r="J69" i="9"/>
  <c r="D69" i="9"/>
  <c r="T68" i="9"/>
  <c r="J68" i="9"/>
  <c r="D68" i="9"/>
  <c r="T67" i="9"/>
  <c r="D67" i="9"/>
  <c r="P84" i="9" s="1"/>
  <c r="P66" i="9"/>
  <c r="P79" i="9" s="1"/>
  <c r="P65" i="9"/>
  <c r="P67" i="9" s="1"/>
  <c r="J62" i="9"/>
  <c r="D61" i="9"/>
  <c r="C61" i="9"/>
  <c r="C29" i="9" s="1"/>
  <c r="C27" i="9" s="1"/>
  <c r="D60" i="9"/>
  <c r="P73" i="9" s="1"/>
  <c r="P77" i="9" s="1"/>
  <c r="C60" i="9"/>
  <c r="C28" i="9" s="1"/>
  <c r="C26" i="9" s="1"/>
  <c r="J59" i="9"/>
  <c r="P54" i="9"/>
  <c r="P53" i="9"/>
  <c r="J53" i="9"/>
  <c r="W67" i="9" s="1"/>
  <c r="D53" i="9"/>
  <c r="P52" i="9"/>
  <c r="J52" i="9"/>
  <c r="W68" i="9" s="1"/>
  <c r="U51" i="9"/>
  <c r="P51" i="9"/>
  <c r="P50" i="9"/>
  <c r="P49" i="9"/>
  <c r="D49" i="9"/>
  <c r="P48" i="9"/>
  <c r="D48" i="9"/>
  <c r="C48" i="9"/>
  <c r="P47" i="9"/>
  <c r="P46" i="9"/>
  <c r="J43" i="9" s="1"/>
  <c r="W75" i="9" s="1"/>
  <c r="AF45" i="9"/>
  <c r="AE45" i="9"/>
  <c r="D45" i="9"/>
  <c r="AF44" i="9"/>
  <c r="AE44" i="9" s="1"/>
  <c r="P45" i="9" s="1"/>
  <c r="P44" i="9"/>
  <c r="AF43" i="9"/>
  <c r="AE43" i="9" s="1"/>
  <c r="P43" i="9"/>
  <c r="AF42" i="9"/>
  <c r="AE42" i="9" s="1"/>
  <c r="C31" i="9"/>
  <c r="B3" i="9" s="1"/>
  <c r="C5" i="9" s="1"/>
  <c r="C30" i="9"/>
  <c r="P87" i="8"/>
  <c r="P84" i="8"/>
  <c r="P80" i="8"/>
  <c r="W79" i="8"/>
  <c r="P79" i="8"/>
  <c r="D78" i="8"/>
  <c r="D76" i="8"/>
  <c r="T75" i="8"/>
  <c r="D75" i="8"/>
  <c r="T74" i="8"/>
  <c r="T73" i="8"/>
  <c r="D73" i="8"/>
  <c r="C73" i="8"/>
  <c r="T72" i="8"/>
  <c r="D72" i="8"/>
  <c r="J49" i="8" s="1"/>
  <c r="T71" i="8"/>
  <c r="T70" i="8"/>
  <c r="P70" i="8"/>
  <c r="D70" i="8"/>
  <c r="J59" i="8" s="1"/>
  <c r="T69" i="8"/>
  <c r="D69" i="8"/>
  <c r="T68" i="8"/>
  <c r="D68" i="8"/>
  <c r="W76" i="8" s="1"/>
  <c r="W67" i="8"/>
  <c r="T67" i="8"/>
  <c r="D67" i="8"/>
  <c r="P66" i="8"/>
  <c r="P65" i="8"/>
  <c r="P67" i="8" s="1"/>
  <c r="J62" i="8"/>
  <c r="W77" i="8" s="1"/>
  <c r="J61" i="8"/>
  <c r="W78" i="8" s="1"/>
  <c r="D61" i="8"/>
  <c r="C61" i="8"/>
  <c r="D60" i="8"/>
  <c r="C60" i="8"/>
  <c r="C28" i="8" s="1"/>
  <c r="C26" i="8" s="1"/>
  <c r="P54" i="8"/>
  <c r="P53" i="8"/>
  <c r="J53" i="8"/>
  <c r="D53" i="8"/>
  <c r="J69" i="8" s="1"/>
  <c r="P52" i="8"/>
  <c r="U51" i="8"/>
  <c r="P51" i="8"/>
  <c r="P50" i="8"/>
  <c r="P49" i="8"/>
  <c r="D49" i="8"/>
  <c r="P48" i="8"/>
  <c r="D48" i="8"/>
  <c r="C48" i="8"/>
  <c r="P47" i="8"/>
  <c r="P46" i="8"/>
  <c r="P43" i="8"/>
  <c r="C35" i="8"/>
  <c r="D45" i="8" s="1"/>
  <c r="C31" i="8"/>
  <c r="C30" i="8"/>
  <c r="B2" i="8" s="1"/>
  <c r="C29" i="8"/>
  <c r="C27" i="8" s="1"/>
  <c r="P84" i="7"/>
  <c r="W79" i="7"/>
  <c r="P79" i="7"/>
  <c r="W78" i="7"/>
  <c r="D78" i="7"/>
  <c r="D76" i="7"/>
  <c r="T75" i="7"/>
  <c r="D75" i="7"/>
  <c r="T74" i="7"/>
  <c r="T73" i="7"/>
  <c r="D73" i="7"/>
  <c r="C73" i="7"/>
  <c r="T72" i="7"/>
  <c r="D72" i="7"/>
  <c r="T71" i="7"/>
  <c r="T70" i="7"/>
  <c r="P70" i="7"/>
  <c r="D70" i="7"/>
  <c r="T69" i="7"/>
  <c r="J69" i="7"/>
  <c r="D69" i="7"/>
  <c r="T68" i="7"/>
  <c r="D68" i="7"/>
  <c r="W76" i="7" s="1"/>
  <c r="T67" i="7"/>
  <c r="P67" i="7"/>
  <c r="D67" i="7"/>
  <c r="P66" i="7"/>
  <c r="P80" i="7" s="1"/>
  <c r="P65" i="7"/>
  <c r="J61" i="7"/>
  <c r="D61" i="7"/>
  <c r="C61" i="7"/>
  <c r="D60" i="7"/>
  <c r="C60" i="7"/>
  <c r="J59" i="7"/>
  <c r="P54" i="7"/>
  <c r="P53" i="7"/>
  <c r="D53" i="7"/>
  <c r="P52" i="7"/>
  <c r="U51" i="7"/>
  <c r="P51" i="7"/>
  <c r="P50" i="7"/>
  <c r="P49" i="7"/>
  <c r="J49" i="7"/>
  <c r="D49" i="7"/>
  <c r="J53" i="7" s="1"/>
  <c r="W67" i="7" s="1"/>
  <c r="P48" i="7"/>
  <c r="D48" i="7"/>
  <c r="C48" i="7"/>
  <c r="P47" i="7"/>
  <c r="P46" i="7"/>
  <c r="D45" i="7"/>
  <c r="P43" i="7"/>
  <c r="C31" i="7"/>
  <c r="C30" i="7"/>
  <c r="C29" i="7"/>
  <c r="C28" i="7"/>
  <c r="C27" i="7"/>
  <c r="C5" i="7"/>
  <c r="B3" i="7"/>
  <c r="W79" i="6"/>
  <c r="D78" i="6"/>
  <c r="D76" i="6"/>
  <c r="T75" i="6"/>
  <c r="D75" i="6"/>
  <c r="T74" i="6"/>
  <c r="T73" i="6"/>
  <c r="D73" i="6"/>
  <c r="J49" i="6" s="1"/>
  <c r="C73" i="6"/>
  <c r="T72" i="6"/>
  <c r="D72" i="6"/>
  <c r="T71" i="6"/>
  <c r="T70" i="6"/>
  <c r="P70" i="6"/>
  <c r="D70" i="6"/>
  <c r="T69" i="6"/>
  <c r="D69" i="6"/>
  <c r="J62" i="6" s="1"/>
  <c r="W77" i="6" s="1"/>
  <c r="T68" i="6"/>
  <c r="D68" i="6"/>
  <c r="W76" i="6" s="1"/>
  <c r="T67" i="6"/>
  <c r="P67" i="6"/>
  <c r="D67" i="6"/>
  <c r="P66" i="6"/>
  <c r="P65" i="6"/>
  <c r="D61" i="6"/>
  <c r="C61" i="6"/>
  <c r="D60" i="6"/>
  <c r="P73" i="6" s="1"/>
  <c r="C60" i="6"/>
  <c r="P54" i="6"/>
  <c r="P53" i="6"/>
  <c r="D53" i="6"/>
  <c r="P52" i="6"/>
  <c r="J52" i="6"/>
  <c r="W68" i="6" s="1"/>
  <c r="U51" i="6"/>
  <c r="P51" i="6"/>
  <c r="P50" i="6"/>
  <c r="P49" i="6"/>
  <c r="D49" i="6"/>
  <c r="J53" i="6" s="1"/>
  <c r="W67" i="6" s="1"/>
  <c r="P48" i="6"/>
  <c r="D48" i="6"/>
  <c r="C48" i="6"/>
  <c r="P47" i="6"/>
  <c r="P46" i="6"/>
  <c r="D45" i="6"/>
  <c r="AF42" i="6" s="1"/>
  <c r="AF44" i="6"/>
  <c r="AE44" i="6" s="1"/>
  <c r="P43" i="6"/>
  <c r="C31" i="6"/>
  <c r="C30" i="6"/>
  <c r="C27" i="6"/>
  <c r="C26" i="6"/>
  <c r="B3" i="6"/>
  <c r="C5" i="6" s="1"/>
  <c r="B2" i="6"/>
  <c r="I31" i="6" s="1"/>
  <c r="C22" i="6" s="1"/>
  <c r="D73" i="4"/>
  <c r="W72" i="4"/>
  <c r="D72" i="4"/>
  <c r="D70" i="4"/>
  <c r="D69" i="4"/>
  <c r="T68" i="4"/>
  <c r="T67" i="4"/>
  <c r="D67" i="4"/>
  <c r="C67" i="4"/>
  <c r="T66" i="4"/>
  <c r="D66" i="4"/>
  <c r="T65" i="4"/>
  <c r="T64" i="4"/>
  <c r="P64" i="4"/>
  <c r="D64" i="4"/>
  <c r="J54" i="4" s="1"/>
  <c r="T63" i="4"/>
  <c r="D63" i="4"/>
  <c r="J57" i="4" s="1"/>
  <c r="W70" i="4" s="1"/>
  <c r="T62" i="4"/>
  <c r="D62" i="4"/>
  <c r="T61" i="4"/>
  <c r="D61" i="4"/>
  <c r="P78" i="4" s="1"/>
  <c r="T60" i="4"/>
  <c r="P60" i="4"/>
  <c r="P59" i="4"/>
  <c r="P61" i="4" s="1"/>
  <c r="J56" i="4"/>
  <c r="W71" i="4" s="1"/>
  <c r="D55" i="4"/>
  <c r="C55" i="4"/>
  <c r="D54" i="4"/>
  <c r="C54" i="4"/>
  <c r="P48" i="4"/>
  <c r="J48" i="4"/>
  <c r="W60" i="4" s="1"/>
  <c r="D48" i="4"/>
  <c r="J63" i="4" s="1"/>
  <c r="P47" i="4"/>
  <c r="P46" i="4"/>
  <c r="P45" i="4"/>
  <c r="P44" i="4"/>
  <c r="J44" i="4"/>
  <c r="D44" i="4"/>
  <c r="P43" i="4"/>
  <c r="D43" i="4"/>
  <c r="C43" i="4"/>
  <c r="P42" i="4"/>
  <c r="P41" i="4"/>
  <c r="D40" i="4"/>
  <c r="AF39" i="4" s="1"/>
  <c r="P39" i="4"/>
  <c r="P38" i="4"/>
  <c r="B32" i="4"/>
  <c r="B31" i="4"/>
  <c r="B2" i="4" s="1"/>
  <c r="B3" i="4"/>
  <c r="C5" i="4" s="1"/>
  <c r="Z83" i="5"/>
  <c r="AG75" i="5"/>
  <c r="N75" i="5"/>
  <c r="N74" i="5"/>
  <c r="AG73" i="5"/>
  <c r="N72" i="5"/>
  <c r="AD71" i="5"/>
  <c r="N71" i="5"/>
  <c r="AD70" i="5"/>
  <c r="AD69" i="5"/>
  <c r="N69" i="5"/>
  <c r="T45" i="5" s="1"/>
  <c r="M69" i="5"/>
  <c r="AD68" i="5"/>
  <c r="N68" i="5"/>
  <c r="AD67" i="5"/>
  <c r="AD66" i="5"/>
  <c r="Z66" i="5"/>
  <c r="N66" i="5"/>
  <c r="AD65" i="5"/>
  <c r="N65" i="5"/>
  <c r="AD64" i="5"/>
  <c r="N64" i="5"/>
  <c r="AG72" i="5" s="1"/>
  <c r="AD63" i="5"/>
  <c r="N63" i="5"/>
  <c r="Z80" i="5" s="1"/>
  <c r="Z62" i="5"/>
  <c r="Z75" i="5" s="1"/>
  <c r="Z61" i="5"/>
  <c r="Z76" i="5" s="1"/>
  <c r="T58" i="5"/>
  <c r="T57" i="5"/>
  <c r="AG74" i="5" s="1"/>
  <c r="N57" i="5"/>
  <c r="M57" i="5"/>
  <c r="N56" i="5"/>
  <c r="Z69" i="5" s="1"/>
  <c r="M56" i="5"/>
  <c r="T55" i="5"/>
  <c r="Z50" i="5"/>
  <c r="Z49" i="5"/>
  <c r="T49" i="5"/>
  <c r="AG63" i="5" s="1"/>
  <c r="N49" i="5"/>
  <c r="T65" i="5" s="1"/>
  <c r="Z48" i="5"/>
  <c r="Z47" i="5"/>
  <c r="AG69" i="5" s="1"/>
  <c r="Z46" i="5"/>
  <c r="Z45" i="5"/>
  <c r="N45" i="5"/>
  <c r="Z44" i="5"/>
  <c r="N44" i="5"/>
  <c r="M44" i="5"/>
  <c r="Z43" i="5"/>
  <c r="M46" i="5" s="1"/>
  <c r="Z42" i="5"/>
  <c r="N41" i="5"/>
  <c r="AP39" i="5" s="1"/>
  <c r="AP40" i="5"/>
  <c r="Z40" i="5"/>
  <c r="T39" i="5" s="1"/>
  <c r="Z39" i="5"/>
  <c r="AP38" i="5"/>
  <c r="C32" i="5"/>
  <c r="B3" i="5" s="1"/>
  <c r="C31" i="5"/>
  <c r="C4" i="5"/>
  <c r="B2" i="5"/>
  <c r="J38" i="4" l="1"/>
  <c r="AE39" i="4" s="1"/>
  <c r="P74" i="4"/>
  <c r="W69" i="4"/>
  <c r="B45" i="4"/>
  <c r="I32" i="4"/>
  <c r="C23" i="4" s="1"/>
  <c r="P73" i="4"/>
  <c r="U38" i="12"/>
  <c r="AH66" i="12" s="1"/>
  <c r="W74" i="17"/>
  <c r="J51" i="17"/>
  <c r="J52" i="17" s="1"/>
  <c r="AA62" i="11"/>
  <c r="AA59" i="11"/>
  <c r="AO40" i="5"/>
  <c r="Z41" i="5" s="1"/>
  <c r="T43" i="5" s="1"/>
  <c r="AG71" i="5"/>
  <c r="AO38" i="5"/>
  <c r="P44" i="6"/>
  <c r="J43" i="6" s="1"/>
  <c r="AE42" i="6"/>
  <c r="P45" i="6" s="1"/>
  <c r="J47" i="6" s="1"/>
  <c r="P82" i="9"/>
  <c r="P77" i="6"/>
  <c r="P74" i="6"/>
  <c r="AO39" i="5"/>
  <c r="C45" i="4"/>
  <c r="C50" i="6"/>
  <c r="I32" i="5"/>
  <c r="C23" i="5" s="1"/>
  <c r="C5" i="5"/>
  <c r="Z70" i="5"/>
  <c r="Z73" i="5"/>
  <c r="P50" i="10"/>
  <c r="W64" i="10" s="1"/>
  <c r="P51" i="10"/>
  <c r="J45" i="10"/>
  <c r="L46" i="5"/>
  <c r="AG76" i="5"/>
  <c r="T50" i="6"/>
  <c r="AF44" i="7"/>
  <c r="AE44" i="7" s="1"/>
  <c r="AF42" i="7"/>
  <c r="AF45" i="7"/>
  <c r="AF43" i="7"/>
  <c r="AE43" i="7" s="1"/>
  <c r="T50" i="9"/>
  <c r="AA65" i="12"/>
  <c r="W73" i="4"/>
  <c r="W80" i="6"/>
  <c r="J68" i="6"/>
  <c r="J69" i="6"/>
  <c r="C26" i="7"/>
  <c r="B2" i="7"/>
  <c r="P73" i="7"/>
  <c r="C4" i="8"/>
  <c r="B50" i="9"/>
  <c r="W73" i="9"/>
  <c r="J49" i="10"/>
  <c r="J58" i="10"/>
  <c r="P85" i="10"/>
  <c r="AF44" i="10"/>
  <c r="C63" i="10" s="1"/>
  <c r="AB44" i="10"/>
  <c r="P52" i="10" s="1"/>
  <c r="V38" i="12"/>
  <c r="AP28" i="12"/>
  <c r="AA32" i="12" s="1"/>
  <c r="AP27" i="12"/>
  <c r="AG51" i="13"/>
  <c r="T64" i="5"/>
  <c r="J59" i="6"/>
  <c r="P84" i="6"/>
  <c r="J61" i="6"/>
  <c r="W78" i="6" s="1"/>
  <c r="P75" i="9"/>
  <c r="Z63" i="5"/>
  <c r="C4" i="4"/>
  <c r="J64" i="4"/>
  <c r="B50" i="6"/>
  <c r="B3" i="8"/>
  <c r="C5" i="8" s="1"/>
  <c r="J56" i="10"/>
  <c r="W65" i="10" s="1"/>
  <c r="P91" i="10"/>
  <c r="J52" i="8"/>
  <c r="W68" i="8" s="1"/>
  <c r="W80" i="8"/>
  <c r="J68" i="8"/>
  <c r="J52" i="7"/>
  <c r="W68" i="7" s="1"/>
  <c r="AF44" i="8"/>
  <c r="AE44" i="8" s="1"/>
  <c r="AF42" i="8"/>
  <c r="AF45" i="8"/>
  <c r="AE45" i="8" s="1"/>
  <c r="AF43" i="8"/>
  <c r="J48" i="9"/>
  <c r="C28" i="10"/>
  <c r="C26" i="10" s="1"/>
  <c r="C2" i="10"/>
  <c r="AA72" i="12"/>
  <c r="U48" i="12"/>
  <c r="AH64" i="12" s="1"/>
  <c r="Z61" i="13"/>
  <c r="Z58" i="13"/>
  <c r="AH61" i="11"/>
  <c r="AH53" i="11"/>
  <c r="AF45" i="6"/>
  <c r="AE45" i="6" s="1"/>
  <c r="AF43" i="6"/>
  <c r="AE43" i="6" s="1"/>
  <c r="U28" i="11"/>
  <c r="S63" i="11" s="1"/>
  <c r="AH63" i="12"/>
  <c r="AA52" i="12"/>
  <c r="T48" i="5"/>
  <c r="AG64" i="5" s="1"/>
  <c r="AF37" i="4"/>
  <c r="AE37" i="4" s="1"/>
  <c r="J47" i="4"/>
  <c r="W61" i="4" s="1"/>
  <c r="P67" i="4"/>
  <c r="U32" i="11"/>
  <c r="AO26" i="13"/>
  <c r="AO27" i="13"/>
  <c r="Z31" i="13" s="1"/>
  <c r="P87" i="6"/>
  <c r="P81" i="4"/>
  <c r="P80" i="6"/>
  <c r="P79" i="6"/>
  <c r="P87" i="7"/>
  <c r="J62" i="7"/>
  <c r="W77" i="7" s="1"/>
  <c r="P73" i="8"/>
  <c r="B2" i="9"/>
  <c r="U32" i="12"/>
  <c r="AA64" i="12"/>
  <c r="AG59" i="13"/>
  <c r="Z64" i="13"/>
  <c r="AA69" i="11"/>
  <c r="T53" i="13"/>
  <c r="J47" i="9"/>
  <c r="U54" i="11"/>
  <c r="J68" i="7"/>
  <c r="W80" i="7"/>
  <c r="AA58" i="12"/>
  <c r="C4" i="6"/>
  <c r="C50" i="9"/>
  <c r="J61" i="9"/>
  <c r="W78" i="9" s="1"/>
  <c r="W68" i="4" l="1"/>
  <c r="AE38" i="4"/>
  <c r="P40" i="4" s="1"/>
  <c r="W66" i="4"/>
  <c r="D90" i="17"/>
  <c r="B24" i="17" s="1"/>
  <c r="J68" i="17"/>
  <c r="J67" i="17"/>
  <c r="W72" i="6"/>
  <c r="AG68" i="5"/>
  <c r="U37" i="11"/>
  <c r="AA59" i="12"/>
  <c r="AA62" i="12"/>
  <c r="C4" i="9"/>
  <c r="I31" i="9"/>
  <c r="C22" i="9" s="1"/>
  <c r="D4" i="10"/>
  <c r="AH61" i="12"/>
  <c r="AH53" i="12"/>
  <c r="U28" i="12"/>
  <c r="N36" i="12" s="1"/>
  <c r="P75" i="6"/>
  <c r="I31" i="7"/>
  <c r="C22" i="7" s="1"/>
  <c r="C4" i="7"/>
  <c r="P68" i="4"/>
  <c r="P71" i="4"/>
  <c r="J51" i="10"/>
  <c r="W76" i="10"/>
  <c r="J71" i="10"/>
  <c r="W73" i="10" s="1"/>
  <c r="P82" i="6"/>
  <c r="U39" i="11"/>
  <c r="AH54" i="11" s="1"/>
  <c r="U56" i="11"/>
  <c r="AH55" i="11" s="1"/>
  <c r="U34" i="11"/>
  <c r="U40" i="11"/>
  <c r="P81" i="9"/>
  <c r="W74" i="10"/>
  <c r="P57" i="10"/>
  <c r="J57" i="10" s="1"/>
  <c r="W83" i="10"/>
  <c r="P60" i="10"/>
  <c r="J55" i="10" s="1"/>
  <c r="W73" i="6"/>
  <c r="W75" i="6"/>
  <c r="J48" i="6"/>
  <c r="P77" i="8"/>
  <c r="P74" i="8"/>
  <c r="P44" i="8"/>
  <c r="J43" i="8" s="1"/>
  <c r="AE43" i="8"/>
  <c r="P45" i="8" s="1"/>
  <c r="P76" i="9"/>
  <c r="P78" i="9" s="1"/>
  <c r="C29" i="10"/>
  <c r="C52" i="10"/>
  <c r="C3" i="10"/>
  <c r="I31" i="8"/>
  <c r="C22" i="8" s="1"/>
  <c r="T44" i="5"/>
  <c r="P44" i="7"/>
  <c r="J43" i="7" s="1"/>
  <c r="AE45" i="7"/>
  <c r="P45" i="7" s="1"/>
  <c r="AG60" i="13"/>
  <c r="T27" i="13"/>
  <c r="AG52" i="13"/>
  <c r="Z59" i="13"/>
  <c r="Z60" i="13"/>
  <c r="Z62" i="13" s="1"/>
  <c r="P89" i="10"/>
  <c r="P86" i="10"/>
  <c r="T47" i="10"/>
  <c r="AA60" i="11"/>
  <c r="AA61" i="11" s="1"/>
  <c r="AA63" i="11" s="1"/>
  <c r="AH52" i="12"/>
  <c r="N36" i="11"/>
  <c r="M36" i="11"/>
  <c r="AH52" i="11"/>
  <c r="W67" i="10"/>
  <c r="Z72" i="5"/>
  <c r="Z74" i="5" s="1"/>
  <c r="Z71" i="5"/>
  <c r="W71" i="9"/>
  <c r="W70" i="9"/>
  <c r="W72" i="9"/>
  <c r="Z66" i="13"/>
  <c r="B52" i="10"/>
  <c r="P77" i="7"/>
  <c r="P74" i="7"/>
  <c r="Z78" i="5"/>
  <c r="J43" i="4" l="1"/>
  <c r="J42" i="4"/>
  <c r="M36" i="12"/>
  <c r="P75" i="8"/>
  <c r="P76" i="8" s="1"/>
  <c r="P78" i="8" s="1"/>
  <c r="W70" i="6"/>
  <c r="P82" i="8"/>
  <c r="P88" i="9"/>
  <c r="J64" i="9" s="1"/>
  <c r="P83" i="9"/>
  <c r="P76" i="6"/>
  <c r="P78" i="6" s="1"/>
  <c r="P81" i="6" s="1"/>
  <c r="W71" i="6"/>
  <c r="W75" i="8"/>
  <c r="T50" i="8"/>
  <c r="W73" i="8"/>
  <c r="J47" i="8"/>
  <c r="C50" i="8"/>
  <c r="J48" i="8"/>
  <c r="B50" i="8"/>
  <c r="AE42" i="8"/>
  <c r="Z77" i="5"/>
  <c r="P87" i="10"/>
  <c r="T50" i="7"/>
  <c r="W75" i="7"/>
  <c r="J47" i="7"/>
  <c r="J48" i="7"/>
  <c r="B50" i="7"/>
  <c r="W73" i="7"/>
  <c r="C50" i="7"/>
  <c r="D5" i="10"/>
  <c r="C27" i="10"/>
  <c r="U56" i="12"/>
  <c r="AH55" i="12" s="1"/>
  <c r="U34" i="12"/>
  <c r="U40" i="12"/>
  <c r="U39" i="12"/>
  <c r="AH54" i="12" s="1"/>
  <c r="U37" i="12"/>
  <c r="S63" i="12"/>
  <c r="AA61" i="12"/>
  <c r="AA63" i="12" s="1"/>
  <c r="AA60" i="12"/>
  <c r="AA67" i="12" s="1"/>
  <c r="P75" i="7"/>
  <c r="P76" i="7" s="1"/>
  <c r="P78" i="7" s="1"/>
  <c r="P82" i="7"/>
  <c r="AH56" i="11"/>
  <c r="U60" i="11"/>
  <c r="U33" i="11" s="1"/>
  <c r="AG66" i="5"/>
  <c r="AA66" i="11"/>
  <c r="AE42" i="7"/>
  <c r="AG67" i="5"/>
  <c r="T55" i="13"/>
  <c r="T38" i="13"/>
  <c r="AG53" i="13" s="1"/>
  <c r="L35" i="13"/>
  <c r="T33" i="13"/>
  <c r="T39" i="13"/>
  <c r="T36" i="13"/>
  <c r="M35" i="13"/>
  <c r="R64" i="13"/>
  <c r="AA67" i="11"/>
  <c r="Z65" i="13"/>
  <c r="J76" i="10"/>
  <c r="J50" i="10" s="1"/>
  <c r="W66" i="10"/>
  <c r="P69" i="4"/>
  <c r="P76" i="4" s="1"/>
  <c r="I31" i="10"/>
  <c r="D22" i="10" s="1"/>
  <c r="W64" i="4" l="1"/>
  <c r="W63" i="4"/>
  <c r="W65" i="4"/>
  <c r="P83" i="6"/>
  <c r="P88" i="6"/>
  <c r="J64" i="6" s="1"/>
  <c r="AH56" i="12"/>
  <c r="U60" i="12"/>
  <c r="U33" i="12" s="1"/>
  <c r="P88" i="10"/>
  <c r="P90" i="10" s="1"/>
  <c r="P93" i="10" s="1"/>
  <c r="Z72" i="13"/>
  <c r="T49" i="13" s="1"/>
  <c r="Z67" i="13"/>
  <c r="P94" i="10"/>
  <c r="Z79" i="5"/>
  <c r="Z84" i="5"/>
  <c r="T60" i="5" s="1"/>
  <c r="P70" i="4"/>
  <c r="P72" i="4" s="1"/>
  <c r="P75" i="4" s="1"/>
  <c r="T59" i="13"/>
  <c r="T32" i="13" s="1"/>
  <c r="AG55" i="13"/>
  <c r="AG54" i="13"/>
  <c r="P33" i="13"/>
  <c r="P81" i="7"/>
  <c r="W72" i="7"/>
  <c r="W71" i="7"/>
  <c r="W70" i="7"/>
  <c r="P81" i="8"/>
  <c r="AH59" i="11"/>
  <c r="AA68" i="11"/>
  <c r="AA73" i="11"/>
  <c r="U50" i="11" s="1"/>
  <c r="P85" i="9"/>
  <c r="J50" i="9" s="1"/>
  <c r="J66" i="9"/>
  <c r="W70" i="10"/>
  <c r="W69" i="10"/>
  <c r="AA66" i="12"/>
  <c r="W70" i="8"/>
  <c r="W72" i="8"/>
  <c r="W71" i="8"/>
  <c r="A69" i="9"/>
  <c r="B17" i="9"/>
  <c r="P100" i="10" l="1"/>
  <c r="J67" i="10" s="1"/>
  <c r="P95" i="10"/>
  <c r="P82" i="4"/>
  <c r="J59" i="4" s="1"/>
  <c r="P77" i="4"/>
  <c r="Z69" i="13"/>
  <c r="T34" i="13" s="1"/>
  <c r="T28" i="13" s="1"/>
  <c r="T29" i="13" s="1"/>
  <c r="T51" i="13"/>
  <c r="B18" i="5"/>
  <c r="K65" i="5"/>
  <c r="L54" i="13"/>
  <c r="B18" i="13"/>
  <c r="P83" i="7"/>
  <c r="P88" i="7"/>
  <c r="J64" i="7" s="1"/>
  <c r="Z81" i="5"/>
  <c r="T46" i="5" s="1"/>
  <c r="T62" i="5"/>
  <c r="AH59" i="12"/>
  <c r="A70" i="9"/>
  <c r="B15" i="9"/>
  <c r="P83" i="8"/>
  <c r="P88" i="8"/>
  <c r="J64" i="8" s="1"/>
  <c r="J54" i="9"/>
  <c r="J55" i="9" s="1"/>
  <c r="J44" i="9" s="1"/>
  <c r="J45" i="9" s="1"/>
  <c r="W69" i="9"/>
  <c r="AG58" i="13"/>
  <c r="P34" i="13"/>
  <c r="AG56" i="13"/>
  <c r="AG57" i="13"/>
  <c r="A69" i="6"/>
  <c r="B17" i="6"/>
  <c r="M55" i="11"/>
  <c r="B18" i="11"/>
  <c r="AA73" i="12"/>
  <c r="U50" i="12" s="1"/>
  <c r="AA68" i="12"/>
  <c r="U52" i="11"/>
  <c r="AA70" i="11"/>
  <c r="U35" i="11" s="1"/>
  <c r="J66" i="6"/>
  <c r="P85" i="6"/>
  <c r="J50" i="6" s="1"/>
  <c r="J57" i="9" l="1"/>
  <c r="D81" i="9"/>
  <c r="B22" i="9" s="1"/>
  <c r="J58" i="9"/>
  <c r="T52" i="9" s="1"/>
  <c r="B23" i="13"/>
  <c r="N69" i="13"/>
  <c r="T43" i="13"/>
  <c r="R65" i="13" s="1"/>
  <c r="T42" i="13"/>
  <c r="B15" i="6"/>
  <c r="A70" i="6"/>
  <c r="A69" i="8"/>
  <c r="B17" i="8"/>
  <c r="K66" i="5"/>
  <c r="B16" i="5"/>
  <c r="B16" i="13"/>
  <c r="L55" i="13"/>
  <c r="AH58" i="11"/>
  <c r="U29" i="11"/>
  <c r="U30" i="11" s="1"/>
  <c r="AH57" i="11"/>
  <c r="J66" i="8"/>
  <c r="P85" i="8"/>
  <c r="J50" i="8" s="1"/>
  <c r="AG65" i="5"/>
  <c r="T50" i="5"/>
  <c r="T51" i="5" s="1"/>
  <c r="T40" i="5" s="1"/>
  <c r="T41" i="5" s="1"/>
  <c r="AA70" i="12"/>
  <c r="U35" i="12" s="1"/>
  <c r="U52" i="12"/>
  <c r="A69" i="7"/>
  <c r="B17" i="7"/>
  <c r="P79" i="4"/>
  <c r="J45" i="4" s="1"/>
  <c r="J61" i="4"/>
  <c r="J54" i="6"/>
  <c r="J55" i="6" s="1"/>
  <c r="J44" i="6" s="1"/>
  <c r="J45" i="6" s="1"/>
  <c r="W69" i="6"/>
  <c r="J66" i="7"/>
  <c r="P85" i="7"/>
  <c r="J50" i="7" s="1"/>
  <c r="A63" i="4"/>
  <c r="B18" i="4"/>
  <c r="B16" i="11"/>
  <c r="M56" i="11"/>
  <c r="B18" i="12"/>
  <c r="M55" i="12"/>
  <c r="P97" i="10"/>
  <c r="J52" i="10" s="1"/>
  <c r="J69" i="10"/>
  <c r="C17" i="10"/>
  <c r="A71" i="10"/>
  <c r="D81" i="6" l="1"/>
  <c r="B22" i="6" s="1"/>
  <c r="J58" i="6"/>
  <c r="T52" i="6" s="1"/>
  <c r="J57" i="6"/>
  <c r="T54" i="5"/>
  <c r="T53" i="5"/>
  <c r="N77" i="5"/>
  <c r="B23" i="5" s="1"/>
  <c r="R66" i="13"/>
  <c r="R67" i="13" s="1"/>
  <c r="R68" i="13"/>
  <c r="B16" i="4"/>
  <c r="A64" i="4"/>
  <c r="J49" i="4"/>
  <c r="J50" i="4" s="1"/>
  <c r="J39" i="4" s="1"/>
  <c r="J40" i="4" s="1"/>
  <c r="W62" i="4"/>
  <c r="J54" i="8"/>
  <c r="J55" i="8" s="1"/>
  <c r="J44" i="8"/>
  <c r="J45" i="8" s="1"/>
  <c r="W69" i="8"/>
  <c r="A70" i="8"/>
  <c r="B15" i="8"/>
  <c r="T51" i="9"/>
  <c r="T53" i="9" s="1"/>
  <c r="T54" i="9"/>
  <c r="A72" i="10"/>
  <c r="C15" i="10"/>
  <c r="J54" i="7"/>
  <c r="J55" i="7" s="1"/>
  <c r="J44" i="7" s="1"/>
  <c r="J45" i="7" s="1"/>
  <c r="W69" i="7"/>
  <c r="U29" i="12"/>
  <c r="U30" i="12" s="1"/>
  <c r="AH58" i="12"/>
  <c r="AH57" i="12"/>
  <c r="W68" i="10"/>
  <c r="J46" i="10"/>
  <c r="J47" i="10" s="1"/>
  <c r="A70" i="7"/>
  <c r="B15" i="7"/>
  <c r="B16" i="12"/>
  <c r="M56" i="12"/>
  <c r="O67" i="11"/>
  <c r="B23" i="11"/>
  <c r="U44" i="11"/>
  <c r="S64" i="11" s="1"/>
  <c r="U43" i="11"/>
  <c r="D81" i="7" l="1"/>
  <c r="B22" i="7" s="1"/>
  <c r="J58" i="7"/>
  <c r="T52" i="7" s="1"/>
  <c r="J57" i="7"/>
  <c r="J52" i="4"/>
  <c r="D75" i="4"/>
  <c r="J53" i="4"/>
  <c r="B23" i="4"/>
  <c r="D81" i="8"/>
  <c r="B22" i="8" s="1"/>
  <c r="J58" i="8"/>
  <c r="T52" i="8" s="1"/>
  <c r="J57" i="8"/>
  <c r="S65" i="11"/>
  <c r="S66" i="11" s="1"/>
  <c r="S67" i="11"/>
  <c r="J61" i="10"/>
  <c r="T49" i="10" s="1"/>
  <c r="J60" i="10"/>
  <c r="D83" i="10"/>
  <c r="C22" i="10" s="1"/>
  <c r="U44" i="12"/>
  <c r="S64" i="12" s="1"/>
  <c r="U43" i="12"/>
  <c r="B23" i="12"/>
  <c r="O67" i="12"/>
  <c r="T51" i="6"/>
  <c r="T53" i="6" s="1"/>
  <c r="T54" i="6"/>
  <c r="S65" i="12" l="1"/>
  <c r="S66" i="12" s="1"/>
  <c r="S67" i="12"/>
  <c r="T51" i="7"/>
  <c r="T53" i="7" s="1"/>
  <c r="T54" i="7"/>
  <c r="T48" i="10"/>
  <c r="T50" i="10" s="1"/>
  <c r="T51" i="10"/>
  <c r="T51" i="8"/>
  <c r="T53" i="8" s="1"/>
  <c r="T54" i="8"/>
</calcChain>
</file>

<file path=xl/comments1.xml><?xml version="1.0" encoding="utf-8"?>
<comments xmlns="http://schemas.openxmlformats.org/spreadsheetml/2006/main">
  <authors>
    <author>作者</author>
  </authors>
  <commentList>
    <comment ref="D51" authorId="0" shapeId="0">
      <text>
        <r>
          <rPr>
            <b/>
            <sz val="9"/>
            <color indexed="81"/>
            <rFont val="宋体"/>
            <family val="3"/>
            <charset val="134"/>
          </rPr>
          <t>作者:</t>
        </r>
        <r>
          <rPr>
            <sz val="9"/>
            <color indexed="81"/>
            <rFont val="宋体"/>
            <family val="3"/>
            <charset val="134"/>
          </rPr>
          <t xml:space="preserve">
像素格式小于等于像素位深</t>
        </r>
      </text>
    </comment>
    <comment ref="J54" authorId="0" shapeId="0">
      <text>
        <r>
          <rPr>
            <b/>
            <sz val="9"/>
            <color indexed="81"/>
            <rFont val="宋体"/>
            <family val="3"/>
            <charset val="134"/>
          </rPr>
          <t>作者:</t>
        </r>
        <r>
          <rPr>
            <sz val="9"/>
            <color indexed="81"/>
            <rFont val="宋体"/>
            <family val="3"/>
            <charset val="134"/>
          </rPr>
          <t xml:space="preserve">
极小曝光模式下不能进行交叠曝光，因此需要多加2倍行周期的余量保证，其中一行是因为触发信号会随机落在两个xhs信号之间，要把这一行留出，再多加一行的余量保证极小曝光模式下不会产生交叠曝光的情况。</t>
        </r>
      </text>
    </comment>
    <comment ref="D58" authorId="0" shapeId="0">
      <text>
        <r>
          <rPr>
            <b/>
            <sz val="9"/>
            <color indexed="81"/>
            <rFont val="宋体"/>
            <family val="3"/>
            <charset val="134"/>
          </rPr>
          <t>作者:</t>
        </r>
        <r>
          <rPr>
            <sz val="9"/>
            <color indexed="81"/>
            <rFont val="宋体"/>
            <family val="3"/>
            <charset val="134"/>
          </rPr>
          <t xml:space="preserve">
imx992实际曝光时间精度为2H，区别与其他sony sensor的1H</t>
        </r>
      </text>
    </comment>
  </commentList>
</comments>
</file>

<file path=xl/comments2.xml><?xml version="1.0" encoding="utf-8"?>
<comments xmlns="http://schemas.openxmlformats.org/spreadsheetml/2006/main">
  <authors>
    <author>作者</author>
  </authors>
  <commentList>
    <comment ref="D51" authorId="0" shapeId="0">
      <text>
        <r>
          <rPr>
            <b/>
            <sz val="9"/>
            <color indexed="81"/>
            <rFont val="宋体"/>
            <family val="3"/>
            <charset val="134"/>
          </rPr>
          <t>作者:</t>
        </r>
        <r>
          <rPr>
            <sz val="9"/>
            <color indexed="81"/>
            <rFont val="宋体"/>
            <family val="3"/>
            <charset val="134"/>
          </rPr>
          <t xml:space="preserve">
像素格式小于等于像素位深</t>
        </r>
      </text>
    </comment>
    <comment ref="J54" authorId="0" shapeId="0">
      <text>
        <r>
          <rPr>
            <b/>
            <sz val="9"/>
            <color indexed="81"/>
            <rFont val="宋体"/>
            <family val="3"/>
            <charset val="134"/>
          </rPr>
          <t>作者:</t>
        </r>
        <r>
          <rPr>
            <sz val="9"/>
            <color indexed="81"/>
            <rFont val="宋体"/>
            <family val="3"/>
            <charset val="134"/>
          </rPr>
          <t xml:space="preserve">
极小曝光模式下不能进行交叠曝光，因此需要多加2倍行周期的余量保证，其中一行是因为触发信号会随机落在两个xhs信号之间，要把这一行留出，再多加一行的余量保证极小曝光模式下不会产生交叠曝光的情况。</t>
        </r>
      </text>
    </comment>
    <comment ref="D58" authorId="0" shapeId="0">
      <text>
        <r>
          <rPr>
            <b/>
            <sz val="9"/>
            <color indexed="81"/>
            <rFont val="宋体"/>
            <family val="3"/>
            <charset val="134"/>
          </rPr>
          <t>作者:</t>
        </r>
        <r>
          <rPr>
            <sz val="9"/>
            <color indexed="81"/>
            <rFont val="宋体"/>
            <family val="3"/>
            <charset val="134"/>
          </rPr>
          <t xml:space="preserve">
imx992实际曝光时间精度为2H，区别与其他sony sensor的1H</t>
        </r>
      </text>
    </comment>
    <comment ref="D76" authorId="0" shapeId="0">
      <text>
        <r>
          <rPr>
            <b/>
            <sz val="9"/>
            <color indexed="81"/>
            <rFont val="宋体"/>
            <family val="3"/>
            <charset val="134"/>
          </rPr>
          <t>author:</t>
        </r>
        <r>
          <rPr>
            <sz val="9"/>
            <color indexed="81"/>
            <rFont val="宋体"/>
            <family val="3"/>
            <charset val="134"/>
          </rPr>
          <t xml:space="preserve">
MARS-533-134GTM-TN-SWIR型号受帧存限制带宽达不到万兆，当自适应为万兆时帧周期实际使用9040Mbit/s计算</t>
        </r>
      </text>
    </comment>
  </commentList>
</comments>
</file>

<file path=xl/comments3.xml><?xml version="1.0" encoding="utf-8"?>
<comments xmlns="http://schemas.openxmlformats.org/spreadsheetml/2006/main">
  <authors>
    <author>作者</author>
    <author>liutianxiang</author>
  </authors>
  <commentList>
    <comment ref="AH43" authorId="0" shapeId="0">
      <text>
        <r>
          <rPr>
            <b/>
            <sz val="9"/>
            <rFont val="宋体"/>
            <family val="3"/>
            <charset val="134"/>
          </rPr>
          <t>作者:</t>
        </r>
        <r>
          <rPr>
            <sz val="9"/>
            <rFont val="宋体"/>
            <family val="3"/>
            <charset val="134"/>
          </rPr>
          <t xml:space="preserve">
如果添加跳过黑行功能，需要联动使帧消隐增大。</t>
        </r>
      </text>
    </comment>
    <comment ref="AW43" authorId="0" shapeId="0">
      <text>
        <r>
          <rPr>
            <b/>
            <sz val="12"/>
            <rFont val="宋体"/>
            <family val="3"/>
            <charset val="134"/>
          </rPr>
          <t>注：极小曝光模式实际曝光时间与寄存器设置值的偏差，负数代表实际曝光时间小于预期时间</t>
        </r>
      </text>
    </comment>
    <comment ref="P48" authorId="1" shapeId="0">
      <text>
        <r>
          <rPr>
            <b/>
            <sz val="9"/>
            <rFont val="宋体"/>
            <family val="3"/>
            <charset val="134"/>
          </rPr>
          <t>liutianxiang:</t>
        </r>
        <r>
          <rPr>
            <sz val="9"/>
            <rFont val="宋体"/>
            <family val="3"/>
            <charset val="134"/>
          </rPr>
          <t xml:space="preserve">
计算timer_counter的时钟为clk_axi=50MHz</t>
        </r>
      </text>
    </comment>
    <comment ref="P51" authorId="0" shapeId="0">
      <text>
        <r>
          <rPr>
            <b/>
            <sz val="12"/>
            <rFont val="宋体"/>
            <family val="3"/>
            <charset val="134"/>
          </rPr>
          <t>注:
“实际设置值”是因为12bit极小曝光方案：行周期不翻倍，用触发读出功能限制瞬时带宽，目前实际设置值均与line_time_sensor一致</t>
        </r>
      </text>
    </comment>
  </commentList>
</comments>
</file>

<file path=xl/comments4.xml><?xml version="1.0" encoding="utf-8"?>
<comments xmlns="http://schemas.openxmlformats.org/spreadsheetml/2006/main">
  <authors>
    <author>作者</author>
  </authors>
  <commentList>
    <comment ref="S38" authorId="0" shapeId="0">
      <text>
        <r>
          <rPr>
            <b/>
            <sz val="9"/>
            <rFont val="宋体"/>
            <family val="3"/>
            <charset val="134"/>
          </rPr>
          <t>作者:</t>
        </r>
        <r>
          <rPr>
            <sz val="9"/>
            <rFont val="宋体"/>
            <family val="3"/>
            <charset val="134"/>
          </rPr>
          <t xml:space="preserve">
标准模式小曝光下[3us~20us]，强制非交叠曝光，曝光长度单位为us</t>
        </r>
      </text>
    </comment>
    <comment ref="T60" authorId="0" shapeId="0">
      <text>
        <r>
          <rPr>
            <b/>
            <sz val="9"/>
            <rFont val="宋体"/>
            <family val="3"/>
            <charset val="134"/>
          </rPr>
          <t>作者:</t>
        </r>
        <r>
          <rPr>
            <sz val="9"/>
            <rFont val="宋体"/>
            <family val="3"/>
            <charset val="134"/>
          </rPr>
          <t xml:space="preserve">
标准曝光模式小曝光区间内强制非交叠触发，帧周期为trigger长度+设置曝光延迟行数+读出决定帧周期+2行余量，余量包含GMRWT(us)+toffset</t>
        </r>
      </text>
    </comment>
  </commentList>
</comments>
</file>

<file path=xl/comments5.xml><?xml version="1.0" encoding="utf-8"?>
<comments xmlns="http://schemas.openxmlformats.org/spreadsheetml/2006/main">
  <authors>
    <author>作者</author>
  </authors>
  <commentList>
    <comment ref="R37" authorId="0" shapeId="0">
      <text>
        <r>
          <rPr>
            <b/>
            <sz val="9"/>
            <rFont val="宋体"/>
            <family val="3"/>
            <charset val="134"/>
          </rPr>
          <t>作者:</t>
        </r>
        <r>
          <rPr>
            <sz val="9"/>
            <rFont val="宋体"/>
            <family val="3"/>
            <charset val="134"/>
          </rPr>
          <t xml:space="preserve">
标准模式小曝光下[3us~20us]，强制非交叠曝光，曝光长度单位为us</t>
        </r>
      </text>
    </comment>
    <comment ref="S59" authorId="0" shapeId="0">
      <text>
        <r>
          <rPr>
            <b/>
            <sz val="9"/>
            <rFont val="宋体"/>
            <family val="3"/>
            <charset val="134"/>
          </rPr>
          <t>作者:</t>
        </r>
        <r>
          <rPr>
            <sz val="9"/>
            <rFont val="宋体"/>
            <family val="3"/>
            <charset val="134"/>
          </rPr>
          <t xml:space="preserve">
标准曝光模式小曝光区间内强制非交叠触发，帧周期为trigger长度+设置曝光延迟行数+读出决定帧周期+2行余量，余量包含GMRWT(us)+toffset</t>
        </r>
      </text>
    </comment>
  </commentList>
</comments>
</file>

<file path=xl/comments6.xml><?xml version="1.0" encoding="utf-8"?>
<comments xmlns="http://schemas.openxmlformats.org/spreadsheetml/2006/main">
  <authors>
    <author>作者</author>
  </authors>
  <commentList>
    <comment ref="S38" authorId="0" shapeId="0">
      <text>
        <r>
          <rPr>
            <b/>
            <sz val="9"/>
            <rFont val="宋体"/>
            <family val="3"/>
            <charset val="134"/>
          </rPr>
          <t>作者:</t>
        </r>
        <r>
          <rPr>
            <sz val="9"/>
            <rFont val="宋体"/>
            <family val="3"/>
            <charset val="134"/>
          </rPr>
          <t xml:space="preserve">
标准模式小曝光下[3us~20us]，强制非交叠曝光，曝光长度单位为us</t>
        </r>
      </text>
    </comment>
    <comment ref="T60" authorId="0" shapeId="0">
      <text>
        <r>
          <rPr>
            <b/>
            <sz val="9"/>
            <rFont val="宋体"/>
            <family val="3"/>
            <charset val="134"/>
          </rPr>
          <t>作者:</t>
        </r>
        <r>
          <rPr>
            <sz val="9"/>
            <rFont val="宋体"/>
            <family val="3"/>
            <charset val="134"/>
          </rPr>
          <t xml:space="preserve">
标准曝光模式小曝光区间内强制非交叠触发，帧周期为trigger长度+设置曝光延迟行数+读出决定帧周期+2行余量，余量包含GMRWT(us)+toffset</t>
        </r>
      </text>
    </comment>
  </commentList>
</comments>
</file>

<file path=xl/comments7.xml><?xml version="1.0" encoding="utf-8"?>
<comments xmlns="http://schemas.openxmlformats.org/spreadsheetml/2006/main">
  <authors>
    <author>admin</author>
    <author>作者</author>
  </authors>
  <commentList>
    <comment ref="AF38" authorId="0" shapeId="0">
      <text>
        <r>
          <rPr>
            <b/>
            <sz val="9"/>
            <rFont val="宋体"/>
            <family val="3"/>
            <charset val="134"/>
          </rPr>
          <t>admin:</t>
        </r>
        <r>
          <rPr>
            <sz val="9"/>
            <rFont val="宋体"/>
            <family val="3"/>
            <charset val="134"/>
          </rPr>
          <t xml:space="preserve">
取黑白彩色，不同位深，skipping,binning各模式中的最大值</t>
        </r>
      </text>
    </comment>
    <comment ref="AG38" authorId="0" shapeId="0">
      <text>
        <r>
          <rPr>
            <b/>
            <sz val="9"/>
            <rFont val="宋体"/>
            <family val="3"/>
            <charset val="134"/>
          </rPr>
          <t>admin:</t>
        </r>
        <r>
          <rPr>
            <sz val="9"/>
            <rFont val="宋体"/>
            <family val="3"/>
            <charset val="134"/>
          </rPr>
          <t xml:space="preserve">
取黑白彩色，不同位深，skipping,binning各模式中的最大值
</t>
        </r>
      </text>
    </comment>
    <comment ref="H49" authorId="1" shapeId="0">
      <text>
        <r>
          <rPr>
            <b/>
            <sz val="9"/>
            <rFont val="宋体"/>
            <family val="3"/>
            <charset val="134"/>
          </rPr>
          <t>作者:</t>
        </r>
        <r>
          <rPr>
            <sz val="9"/>
            <rFont val="宋体"/>
            <family val="3"/>
            <charset val="134"/>
          </rPr>
          <t xml:space="preserve">
标准模式小曝光下[3us~20us]，强制非交叠曝光，曝光长度单位为us</t>
        </r>
      </text>
    </comment>
  </commentList>
</comments>
</file>

<file path=xl/comments8.xml><?xml version="1.0" encoding="utf-8"?>
<comments xmlns="http://schemas.openxmlformats.org/spreadsheetml/2006/main">
  <authors>
    <author>admin</author>
    <author>作者</author>
  </authors>
  <commentList>
    <comment ref="AF37" authorId="0" shapeId="0">
      <text>
        <r>
          <rPr>
            <b/>
            <sz val="9"/>
            <rFont val="宋体"/>
            <family val="3"/>
            <charset val="134"/>
          </rPr>
          <t>admin:</t>
        </r>
        <r>
          <rPr>
            <sz val="9"/>
            <rFont val="宋体"/>
            <family val="3"/>
            <charset val="134"/>
          </rPr>
          <t xml:space="preserve">
取黑白彩色，不同位深，skipping,binning各模式中的最大值</t>
        </r>
      </text>
    </comment>
    <comment ref="AG37" authorId="0" shapeId="0">
      <text>
        <r>
          <rPr>
            <b/>
            <sz val="9"/>
            <rFont val="宋体"/>
            <family val="3"/>
            <charset val="134"/>
          </rPr>
          <t>admin:</t>
        </r>
        <r>
          <rPr>
            <sz val="9"/>
            <rFont val="宋体"/>
            <family val="3"/>
            <charset val="134"/>
          </rPr>
          <t xml:space="preserve">
取黑白彩色，不同位深，skipping,binning各模式中的最大值
</t>
        </r>
      </text>
    </comment>
    <comment ref="H48" authorId="1" shapeId="0">
      <text>
        <r>
          <rPr>
            <b/>
            <sz val="9"/>
            <rFont val="宋体"/>
            <family val="3"/>
            <charset val="134"/>
          </rPr>
          <t>作者:</t>
        </r>
        <r>
          <rPr>
            <sz val="9"/>
            <rFont val="宋体"/>
            <family val="3"/>
            <charset val="134"/>
          </rPr>
          <t xml:space="preserve">
标准模式小曝光下[3us~20us]，强制非交叠曝光，曝光长度单位为us</t>
        </r>
      </text>
    </comment>
  </commentList>
</comments>
</file>

<file path=xl/sharedStrings.xml><?xml version="1.0" encoding="utf-8"?>
<sst xmlns="http://schemas.openxmlformats.org/spreadsheetml/2006/main" count="7654" uniqueCount="1601">
  <si>
    <t>Version</t>
  </si>
  <si>
    <t>Revision</t>
  </si>
  <si>
    <t>Date</t>
  </si>
  <si>
    <t>1.0.0</t>
  </si>
  <si>
    <t>add MARS-2621-42GTx</t>
  </si>
  <si>
    <t xml:space="preserve">1.0.1 </t>
  </si>
  <si>
    <r>
      <rPr>
        <sz val="11"/>
        <color theme="1"/>
        <rFont val="宋体"/>
        <family val="3"/>
        <charset val="134"/>
        <scheme val="minor"/>
      </rPr>
      <t>a</t>
    </r>
    <r>
      <rPr>
        <sz val="11"/>
        <color theme="1"/>
        <rFont val="宋体"/>
        <family val="3"/>
        <charset val="134"/>
        <scheme val="minor"/>
      </rPr>
      <t>dd MARS-5000-24GTx</t>
    </r>
  </si>
  <si>
    <t>1.0.2</t>
  </si>
  <si>
    <t>add MARS-6500-18GTx</t>
  </si>
  <si>
    <t>1.0.3</t>
  </si>
  <si>
    <t>add MARS-1840-63GTx、MARS-561-207GTx、MARS-800-120GTx</t>
  </si>
  <si>
    <t>1.0.4</t>
  </si>
  <si>
    <t>add MARS-1261-90TX</t>
  </si>
  <si>
    <t>1.0.5</t>
  </si>
  <si>
    <t>add MARS-2440-35GTX
add MARS-1610-52GTX</t>
  </si>
  <si>
    <r>
      <rPr>
        <sz val="11"/>
        <color theme="1"/>
        <rFont val="宋体"/>
        <family val="3"/>
        <charset val="134"/>
        <scheme val="minor"/>
      </rPr>
      <t>1.0.</t>
    </r>
    <r>
      <rPr>
        <sz val="11"/>
        <color theme="1"/>
        <rFont val="宋体"/>
        <family val="3"/>
        <charset val="134"/>
        <scheme val="minor"/>
      </rPr>
      <t>6</t>
    </r>
  </si>
  <si>
    <t>Parameter input</t>
  </si>
  <si>
    <t>WidthMax</t>
  </si>
  <si>
    <t>HeightMax</t>
  </si>
  <si>
    <t>Width</t>
  </si>
  <si>
    <t>Height</t>
  </si>
  <si>
    <t>BinningHorizontal</t>
  </si>
  <si>
    <t>BinningVertical</t>
  </si>
  <si>
    <t>DecimationHorizontal</t>
  </si>
  <si>
    <t>DecimationVertical</t>
  </si>
  <si>
    <t>ExposureTime(us)</t>
  </si>
  <si>
    <t>PixelFormat(8/12)</t>
  </si>
  <si>
    <t>LinkSpeed(Mbps)</t>
  </si>
  <si>
    <t>GevFramerateAbsEn</t>
  </si>
  <si>
    <t>GevFramerateABS</t>
  </si>
  <si>
    <t>BandwidthReserve</t>
  </si>
  <si>
    <t>BandwidthReserveMaxValue</t>
  </si>
  <si>
    <t>GevSCPD</t>
  </si>
  <si>
    <t>GevSCPDMaxValue</t>
  </si>
  <si>
    <t>GevSCPSPacketSize</t>
  </si>
  <si>
    <t>ExposureDelay(us)</t>
  </si>
  <si>
    <t>TiggerMode</t>
  </si>
  <si>
    <t>FPS</t>
  </si>
  <si>
    <t>Error message;</t>
  </si>
  <si>
    <t>The current parameter is not within the range:[16,'WidthMax'], please enter again</t>
  </si>
  <si>
    <t>Binning/Skipping后最大宽度</t>
  </si>
  <si>
    <r>
      <rPr>
        <sz val="11"/>
        <color theme="1"/>
        <rFont val="宋体"/>
        <family val="3"/>
        <charset val="134"/>
        <scheme val="minor"/>
      </rPr>
      <t>The current parameter is not within the range:[</t>
    </r>
    <r>
      <rPr>
        <sz val="11"/>
        <color theme="1"/>
        <rFont val="宋体"/>
        <family val="3"/>
        <charset val="134"/>
        <scheme val="minor"/>
      </rPr>
      <t>2</t>
    </r>
    <r>
      <rPr>
        <sz val="11"/>
        <color theme="1"/>
        <rFont val="宋体"/>
        <family val="3"/>
        <charset val="134"/>
        <scheme val="minor"/>
      </rPr>
      <t>,'HeightMax'], please enter again</t>
    </r>
  </si>
  <si>
    <t>Binning/Skipping后最大高度</t>
  </si>
  <si>
    <t>The frame rate calculated by the parameters in the current frame rate calculation table may be abnormal, please modify the parameters according to the prompt</t>
  </si>
  <si>
    <t>Binning/Skipping后宽度</t>
  </si>
  <si>
    <t>Binning/Skipping后高度</t>
  </si>
  <si>
    <t>实际生效水平系数</t>
  </si>
  <si>
    <t>Whether the frame rate calculation is correct:</t>
  </si>
  <si>
    <t>实际生效垂直系数</t>
  </si>
  <si>
    <t>camera_model</t>
  </si>
  <si>
    <t>相机型号</t>
  </si>
  <si>
    <t>mars-5000-22gtx</t>
  </si>
  <si>
    <t>计算结果</t>
  </si>
  <si>
    <t>计算过程</t>
  </si>
  <si>
    <t>映射关系表（绝大多数应用于本表格的公式计算，还有一些关联fpga工程中的宏定义）</t>
  </si>
  <si>
    <t>fpga_platform</t>
  </si>
  <si>
    <t>FPGA平台</t>
  </si>
  <si>
    <t>KU3P</t>
  </si>
  <si>
    <t>帧率</t>
  </si>
  <si>
    <t>固定参数（每款sensor值不一样，需要提取成宏）</t>
  </si>
  <si>
    <t>1.camera_model</t>
  </si>
  <si>
    <t>2.sensor</t>
  </si>
  <si>
    <t xml:space="preserve">3.Master Clock </t>
  </si>
  <si>
    <t>4.pixel_clk</t>
  </si>
  <si>
    <t>5.phy num</t>
  </si>
  <si>
    <t>6.phy ch num</t>
  </si>
  <si>
    <t>7.margin_x</t>
  </si>
  <si>
    <t>8.margin_y</t>
  </si>
  <si>
    <t>9.sensor_width_min</t>
  </si>
  <si>
    <t>10.sensor_height_min</t>
  </si>
  <si>
    <t>11.sensor_width_max</t>
  </si>
  <si>
    <t>12.sensor_height_max</t>
  </si>
  <si>
    <t>13.Tfot(系列化时公式须根据实测情况调整)</t>
  </si>
  <si>
    <t>14.LINE_U_LENGTH</t>
  </si>
  <si>
    <t>15.Nline</t>
  </si>
  <si>
    <t>16.exp_start_dly_line</t>
  </si>
  <si>
    <t>17.exp_end_dly_clk</t>
  </si>
  <si>
    <t>18.tp_row_num</t>
  </si>
  <si>
    <t>19.VBmin</t>
  </si>
  <si>
    <t>20.Readout margin</t>
  </si>
  <si>
    <t>21.PixelFormat</t>
  </si>
  <si>
    <t>22.Default exposureTime</t>
  </si>
  <si>
    <t>23.Default pic_width</t>
  </si>
  <si>
    <t>24.Default pic_height</t>
  </si>
  <si>
    <t>25.Default FrameRate</t>
  </si>
  <si>
    <t>26.Risky Duration</t>
  </si>
  <si>
    <t>27.gtx_clk</t>
  </si>
  <si>
    <t>28.OB行</t>
  </si>
  <si>
    <t>29.FPGA platform</t>
  </si>
  <si>
    <t>30.sensor_config_time</t>
  </si>
  <si>
    <t>参数输入</t>
  </si>
  <si>
    <t>参数</t>
  </si>
  <si>
    <t>描述</t>
  </si>
  <si>
    <t>公式</t>
  </si>
  <si>
    <t>计算值</t>
  </si>
  <si>
    <t>单位</t>
  </si>
  <si>
    <t>推算值
dec</t>
  </si>
  <si>
    <t>mars-2621-41gtx</t>
  </si>
  <si>
    <t>gmax0505</t>
  </si>
  <si>
    <t>像素格式(8/12)</t>
  </si>
  <si>
    <t>A7</t>
  </si>
  <si>
    <t>默认值</t>
  </si>
  <si>
    <t>用户值
dec</t>
  </si>
  <si>
    <t>img_row_time</t>
  </si>
  <si>
    <t>图像行周期NROT</t>
  </si>
  <si>
    <t>1000*Nline*LINE_U_LENGTH/freq_pix_clk</t>
  </si>
  <si>
    <t>ns</t>
  </si>
  <si>
    <t>freq_pix_clk</t>
  </si>
  <si>
    <t>像素时钟频率</t>
  </si>
  <si>
    <t>参见映射关系表</t>
  </si>
  <si>
    <t>MHz</t>
  </si>
  <si>
    <t>mars-6500-17gtx</t>
  </si>
  <si>
    <t>gmax3265</t>
  </si>
  <si>
    <t>像素格式</t>
  </si>
  <si>
    <t>frame_time</t>
  </si>
  <si>
    <t>帧周期</t>
  </si>
  <si>
    <t>IF(TiggerMode=0,max(readout_period_time,exp_period_time,tp_limit_period_time,fps_limit_period_time)+exp risky delay time,IF(ExposureMode="TriggerWidth",max(readout_period_time,exp_period_triggerwidth,fps_limit_period_time),IF(triggercache=0,max(readout_period_time,exp_period_time,fps_limit_period_time)+exp risky delay time),max(readout_period_time,exp_period_time,fps_limit_period_time+tp_limit_period_time)+exp risky delay time)</t>
  </si>
  <si>
    <t>us</t>
  </si>
  <si>
    <t>LINE_U_LENGTH</t>
  </si>
  <si>
    <t>pixel</t>
  </si>
  <si>
    <t>gmax3249</t>
  </si>
  <si>
    <t>pixel_format</t>
  </si>
  <si>
    <t>-</t>
  </si>
  <si>
    <t>frame_freq</t>
  </si>
  <si>
    <t>1000000/frame_time</t>
  </si>
  <si>
    <t>fps</t>
  </si>
  <si>
    <t>Tfot</t>
  </si>
  <si>
    <t>FOT时间</t>
  </si>
  <si>
    <t>曝光时间</t>
  </si>
  <si>
    <t>决定帧周期的四个变量</t>
  </si>
  <si>
    <t>Nline</t>
  </si>
  <si>
    <t>行周期计算系数</t>
  </si>
  <si>
    <t>exposureMode</t>
  </si>
  <si>
    <t>曝光模式</t>
  </si>
  <si>
    <t>Timed</t>
  </si>
  <si>
    <t>readout_period_time</t>
  </si>
  <si>
    <t>读出时间决定的帧周期</t>
  </si>
  <si>
    <t>ROUNDUP(((Height*Vertical binning+VBmin+Readout margin+OB)*img_row_time+Tfot)/1000,0)；+OB为黑电平读出行</t>
  </si>
  <si>
    <t>VBmin</t>
  </si>
  <si>
    <t>最小帧消隐行数</t>
  </si>
  <si>
    <t>line</t>
  </si>
  <si>
    <t>exp_time</t>
  </si>
  <si>
    <t>exp_period_time</t>
  </si>
  <si>
    <t>曝光时间决定的帧周期</t>
  </si>
  <si>
    <t>roundup(ExposureTime+exp_start_delay+exp_end_delay+Tfot)+sensor_config_time+if(sequencer_configration_mode=1,0,ExposureDelay)</t>
  </si>
  <si>
    <t>exp_start_dly_line</t>
  </si>
  <si>
    <t>曝光开始延迟</t>
  </si>
  <si>
    <t>exp_delay</t>
  </si>
  <si>
    <t>曝光延迟</t>
  </si>
  <si>
    <t>fps_limit_period_time</t>
  </si>
  <si>
    <t>帧率限制帧周期</t>
  </si>
  <si>
    <t>if(sequencer_configration_mode=1,0,ROUNDUP((1000000/fps_limit_value)*fps_limit,0))</t>
  </si>
  <si>
    <t>exp_end_dly_clk</t>
  </si>
  <si>
    <t>曝光结束延迟</t>
  </si>
  <si>
    <t>clk</t>
  </si>
  <si>
    <t>ExposureOverlapTimeMax</t>
  </si>
  <si>
    <t>tp_limit_period_time</t>
  </si>
  <si>
    <t>带宽限制帧周期</t>
  </si>
  <si>
    <t>bandwidth_limit_period_time</t>
  </si>
  <si>
    <t>tp_row_num</t>
  </si>
  <si>
    <t>行暂停时间</t>
  </si>
  <si>
    <t>TriggerWidthLength</t>
  </si>
  <si>
    <t>TriggerWidth模式下触发信号长度（demo上没有此项设置，在调试时方便计算帧周期）</t>
  </si>
  <si>
    <t>—</t>
  </si>
  <si>
    <t>sensor相关信息</t>
  </si>
  <si>
    <t>Risky Duration</t>
  </si>
  <si>
    <t>是否存在风险区</t>
  </si>
  <si>
    <t>触发模式</t>
  </si>
  <si>
    <t>实际曝光时间</t>
  </si>
  <si>
    <t>IF((TriggerMode=1)*(ExposureMode="TriggerWidth"),MAX(TriggerWidthLength,ExposureOverlapTimeMax),ROUNDUP((1000*ExposureTime-1000*exp_end_dly_clk/freq_pix_clk)/1000,0))</t>
  </si>
  <si>
    <t>Readout margin</t>
  </si>
  <si>
    <t>读出时间边界预留</t>
  </si>
  <si>
    <t>triggermode</t>
  </si>
  <si>
    <t>exp_delay_line_num</t>
  </si>
  <si>
    <t>曝光延迟时间</t>
  </si>
  <si>
    <t>ExposureDelay</t>
  </si>
  <si>
    <t>sensor_config_time</t>
  </si>
  <si>
    <t>配置sensor寄存器需要的时间</t>
  </si>
  <si>
    <t>triggercache</t>
  </si>
  <si>
    <t>触发缓存</t>
  </si>
  <si>
    <t>judgment of risky duration</t>
  </si>
  <si>
    <t>判断下帧曝光是否落到风险区</t>
  </si>
  <si>
    <t>IF(Risky Duration,IF((TriggerMode=1)*(ExposureMode="TriggerWidth"),IF((ExposureOverlapTimeMax&lt;=ROUNDUP(6*img_row_time/1000,0))*(ExposureOverlapTimeMax&gt;0),1,0),IF((frame_time-exp_time)&lt;readout_period_time,IF((frame_time-exp_time)&gt;=(readout_period_time-6*ROUNDUP(img_row_time/1000,0)),1,0)),0)</t>
  </si>
  <si>
    <t>OB</t>
  </si>
  <si>
    <t>OB行数</t>
  </si>
  <si>
    <t>触发延时</t>
  </si>
  <si>
    <t>exp risky delay time</t>
  </si>
  <si>
    <t>由风险区导致的下帧曝光延迟时间</t>
  </si>
  <si>
    <t>IF(judgment of risky duration=1,IF((TriggerMode=1)*(ExposureMode="TriggerWidth"),ExposureOverlapTimeMax,readout_period_time-(frame_time-exp_time)),0)</t>
  </si>
  <si>
    <t>Gige Vision参数</t>
  </si>
  <si>
    <t>trig_delay</t>
  </si>
  <si>
    <t>触发延迟</t>
  </si>
  <si>
    <t>预估带宽</t>
  </si>
  <si>
    <t>ROI</t>
  </si>
  <si>
    <t>Image effective bandwidth</t>
  </si>
  <si>
    <t>图像有效带宽</t>
  </si>
  <si>
    <t>frame_freq*image_size</t>
  </si>
  <si>
    <t>Byte/s</t>
  </si>
  <si>
    <t>preamble</t>
  </si>
  <si>
    <t>前导符</t>
  </si>
  <si>
    <t>固定为7byte</t>
  </si>
  <si>
    <t>byte</t>
  </si>
  <si>
    <t>水平偏移</t>
  </si>
  <si>
    <t>OffsetX</t>
  </si>
  <si>
    <t>Transport total value</t>
  </si>
  <si>
    <t>传输总带宽</t>
  </si>
  <si>
    <t>frame_freq*frame_packet_size</t>
  </si>
  <si>
    <t>sfd</t>
  </si>
  <si>
    <t>起始帧分界符</t>
  </si>
  <si>
    <t>固定为1byte</t>
  </si>
  <si>
    <t>垂直偏移</t>
  </si>
  <si>
    <t>OffsetY</t>
  </si>
  <si>
    <t>Transport theoretical value</t>
  </si>
  <si>
    <t>传输理论带宽</t>
  </si>
  <si>
    <t>1250*GevLinkSpeed*(100-BandwidthReserve)</t>
  </si>
  <si>
    <t>eth_header</t>
  </si>
  <si>
    <t>以太网协议头</t>
  </si>
  <si>
    <t>目的地址6byte+源地址6byte+以太网类型2byte</t>
  </si>
  <si>
    <t>图像宽度</t>
  </si>
  <si>
    <t>速率匹配</t>
  </si>
  <si>
    <t>ip_header</t>
  </si>
  <si>
    <t>ip协议头</t>
  </si>
  <si>
    <t>固定为20byte</t>
  </si>
  <si>
    <t>图像高度</t>
  </si>
  <si>
    <t>Speed link</t>
  </si>
  <si>
    <t>铜线端的速率对应的寄存器设置
0-10G
1-5G
2-2.5G
3-1G
固件在PHY芯片寄存器中获取到连接速度之后，将对应的速度设置给FPGA</t>
  </si>
  <si>
    <t>IF(GevLinkSpeed=10000,0,IF(GevLinkSpeed=5000,1,IF(GevLinkSpeed=2500,2,IF(GevLinkSpeed=1000,3,3))))</t>
  </si>
  <si>
    <t>udp_header</t>
  </si>
  <si>
    <t>udp协议头</t>
  </si>
  <si>
    <t>固定为8byte</t>
  </si>
  <si>
    <t>chunk</t>
  </si>
  <si>
    <t>Host packet gap set clk num</t>
  </si>
  <si>
    <t>用户设置的包间隔转译为gtx时钟个数</t>
  </si>
  <si>
    <t>ROUNDUP(GevSCPD*gtx_clock_frequency/1000,0)</t>
  </si>
  <si>
    <t>gigev_header</t>
  </si>
  <si>
    <t>gige vision协议头</t>
  </si>
  <si>
    <t>帧信息使能</t>
  </si>
  <si>
    <t>ChunkModeActive</t>
  </si>
  <si>
    <t>最大包间隔</t>
  </si>
  <si>
    <t>fcs</t>
  </si>
  <si>
    <t>CRC校验</t>
  </si>
  <si>
    <t>固定为4byte</t>
  </si>
  <si>
    <t>序列控制</t>
  </si>
  <si>
    <t>Max gevSCPD</t>
  </si>
  <si>
    <t>最大包间隔时间（对应铜线端）</t>
  </si>
  <si>
    <t>IF(ROUNDUP(max_gevscpd_byte_num*1000*8/GevLinkSpeed,0)&gt;200000000,200000000,ROUNDUP(max_gevscpd_byte_num*1000*8/GevLinkSpeed,0))</t>
  </si>
  <si>
    <t>ifg_min</t>
  </si>
  <si>
    <t>最小帧间隔</t>
  </si>
  <si>
    <t>固定为12byte</t>
  </si>
  <si>
    <t>序列配置模式使能</t>
  </si>
  <si>
    <t>sequencer_configration_mode</t>
  </si>
  <si>
    <t>最大预留带宽</t>
  </si>
  <si>
    <t>header_in_payload</t>
  </si>
  <si>
    <t>协议开销总和I:以太网负载部分的协议开销</t>
  </si>
  <si>
    <t>ip_header+udp_header+gigev_header</t>
  </si>
  <si>
    <t>FPGA寄存器</t>
  </si>
  <si>
    <t>带宽控制</t>
  </si>
  <si>
    <t>Max BandwidthReserve</t>
  </si>
  <si>
    <t>IF((100-ROUNDDOWN(10*frame_size/(125000*GevLinkSpeed),0)-1)&lt;0,0,(100-ROUNDDOWN(10*frame_size/(125000*GevLinkSpeed),0)-1))    GevLinkSpeed=10000</t>
  </si>
  <si>
    <t>%</t>
  </si>
  <si>
    <t>eth_protocol_byte</t>
  </si>
  <si>
    <t>协议开销总和II:以太网协议开销</t>
  </si>
  <si>
    <t>preamble+sfd+eth_header+fcs</t>
  </si>
  <si>
    <t>寄存器</t>
  </si>
  <si>
    <t>地址hex</t>
  </si>
  <si>
    <t>推算值
hex</t>
  </si>
  <si>
    <t>说明</t>
  </si>
  <si>
    <t>网络连接速度</t>
  </si>
  <si>
    <t>GevLinkSpeed</t>
  </si>
  <si>
    <t>Mbit/s</t>
  </si>
  <si>
    <t>TriggerWidth模式下曝光时间</t>
  </si>
  <si>
    <t>data_size_min</t>
  </si>
  <si>
    <t>数据包长最小值</t>
  </si>
  <si>
    <t>64-eth_header-fcs-header_in_payload</t>
  </si>
  <si>
    <t>gmax_exposure_delay</t>
  </si>
  <si>
    <t>gmax系列相机曝光延时，仅用于配合闪光灯补光使用，单位是us。</t>
  </si>
  <si>
    <t>流通道包长(指的是以太网的负载包长 范围:512-16384)该数值包含协议开销综合I，不包II</t>
  </si>
  <si>
    <t>exp_period_triggerwidth</t>
  </si>
  <si>
    <t>TriggerWidth模式下曝光时间决定的帧周期</t>
  </si>
  <si>
    <t xml:space="preserve">IF((TriggerMode=1)*(ExposureMode="TriggerWidth"),ROUNDUP(readout_period_time+MAX(TriggerWidthLength,ExposureOverlapTimeMax)-(ExposureOverlapTimeMax-exp_start_dly_line*img_row_time/1000)*(ExposureOverlapTimeMax&gt;ROUNDUP(6*img_row_time/1000,0))),"null")     </t>
  </si>
  <si>
    <t>帧周期参数-GIGE</t>
  </si>
  <si>
    <t>gmax_exposure_time</t>
  </si>
  <si>
    <t>gmax系列相机从模式曝光时间，单位是us</t>
  </si>
  <si>
    <t>exp_time_triggerwidth</t>
  </si>
  <si>
    <t>TriggerWidth模式下实际曝光时间</t>
  </si>
  <si>
    <t xml:space="preserve">IF((TriggerMode=1)*(ExposureMode="TriggerWidth"),MAX(TriggerWidthLength,ExposureOverlapTimeMax)+exp_end_dly_clk/freq_pix_clk,"null")   </t>
  </si>
  <si>
    <t>gmax_trigger_interval_cont</t>
  </si>
  <si>
    <t xml:space="preserve">gmax系列相机触发间隔-连续模式，表示帧周期，单位是us。 </t>
  </si>
  <si>
    <t>leader_size</t>
  </si>
  <si>
    <t>leader长度（净长）</t>
  </si>
  <si>
    <t>chunk off:36
chunk on:12</t>
  </si>
  <si>
    <t>gmax_trigger_interval_trig</t>
  </si>
  <si>
    <t xml:space="preserve">gmax系列相机触发间隔-触发模式，表示帧周期，单位是us。 </t>
  </si>
  <si>
    <t>帧率控制</t>
  </si>
  <si>
    <t>trailer_size</t>
  </si>
  <si>
    <t>trailer长度（净长）</t>
  </si>
  <si>
    <t>实际上trailer大小是8byte，为了和64byte的以太网包对齐，此处写为10byte</t>
  </si>
  <si>
    <t>gmax_trigger_interval_single</t>
  </si>
  <si>
    <t>单帧模式下的帧周期寄存器，以us为单位
计算方法为读出帧周期、曝光帧周期两者的最大值</t>
  </si>
  <si>
    <t>采集帧率调节模式(0/1)</t>
  </si>
  <si>
    <t>AcquisitionFrameRateMode</t>
  </si>
  <si>
    <t>chunk_size</t>
  </si>
  <si>
    <t>chunk大小</t>
  </si>
  <si>
    <t>大恒专用帧信息，ME2P系列为48byte（加12bit为多源触发）</t>
  </si>
  <si>
    <t>gmax_readout_time</t>
  </si>
  <si>
    <t>gmax系列相机读出时间，表示图像传输时间，单位是us。</t>
  </si>
  <si>
    <t>AcquisitionFrameRate</t>
  </si>
  <si>
    <t>image_size</t>
  </si>
  <si>
    <t>传输图像大小（净长）</t>
  </si>
  <si>
    <t>Height*Width*n，if pixel format = 8bit，n=1，else n=2</t>
  </si>
  <si>
    <t>gmax_risky_start</t>
  </si>
  <si>
    <t>gmax系列相机风险区开始时间，单位是us。</t>
  </si>
  <si>
    <t>IF(Risky Duration,DEC2HEX(ROUNDUP(6*img_row_time/1000,0)),0)</t>
  </si>
  <si>
    <t>Skipping</t>
  </si>
  <si>
    <t>image_chunk_size</t>
  </si>
  <si>
    <t>图像+chunk大小（净长）</t>
  </si>
  <si>
    <t>image_size+chunk_size*chunk_mode_active</t>
  </si>
  <si>
    <t>param_cfg_done</t>
  </si>
  <si>
    <t>1:成组生效寄存器设置完成</t>
  </si>
  <si>
    <t>0x1</t>
  </si>
  <si>
    <t>水平Skipping</t>
  </si>
  <si>
    <t>Horizontal Skipping</t>
  </si>
  <si>
    <t>complete_packet_num</t>
  </si>
  <si>
    <t>完整包个数</t>
  </si>
  <si>
    <t>int(image_chunk_size/(GevSCPSPacketSize-header_in_payload))</t>
  </si>
  <si>
    <t>roi_line_hide</t>
  </si>
  <si>
    <t>水平行消隐，单位是clk_pix</t>
  </si>
  <si>
    <t>ROUNDUP(img_row_time*freq_pix_clk/1000,0)-Width/phy num/phy ch num</t>
  </si>
  <si>
    <t>垂直Skipping</t>
  </si>
  <si>
    <t>Vertical Skipping</t>
  </si>
  <si>
    <t>incomplete_packet_size</t>
  </si>
  <si>
    <t>残包大小（净长）</t>
  </si>
  <si>
    <t>image_chunk_size-(GevSCPSPacketSize-header_in_payload)*complete_packet_num</t>
  </si>
  <si>
    <t>packet_length</t>
  </si>
  <si>
    <t>正常包包长寄存器,仅payload部分，不包括ip、udp、gvsp头</t>
  </si>
  <si>
    <t>0x1200100</t>
  </si>
  <si>
    <t>dec2hex(GevSCPSPacketSize-header_in_payload)</t>
  </si>
  <si>
    <t>上层设置的包间隔以ns为单位，而FPGA中需要寄存器以时钟个数为单位，由于clk_gtx时钟对应的时钟周期为6.4ns，因此将用户设置的包间隔除以6.4之后再上取整即可</t>
  </si>
  <si>
    <t>binning</t>
  </si>
  <si>
    <t>incomplete_packet_num</t>
  </si>
  <si>
    <t>残包个数</t>
  </si>
  <si>
    <t>if(incomplete_packet_size=0,0,1)</t>
  </si>
  <si>
    <t>packet_gap</t>
  </si>
  <si>
    <t>包间隔寄存器</t>
  </si>
  <si>
    <t>0x1400080</t>
  </si>
  <si>
    <t>dec2hex(host_packet_gap)</t>
  </si>
  <si>
    <t>当网络正常连接且自协商完成后，固件配置IP之后，设置从PHY中读取的网络连接速度给FPGA
0-10G
1-5G
2-2.5G
3-1G</t>
  </si>
  <si>
    <t>水平binning</t>
  </si>
  <si>
    <t>Horizontal binning</t>
  </si>
  <si>
    <t>incomplete_packet_size_min</t>
  </si>
  <si>
    <t>经过最小包长判断之后的残包大小（净长）</t>
  </si>
  <si>
    <t>残包大小最少要是64byte
if(incomplete_packet_size&lt;data_size_min,data_size_min,incomplete_packet_size)</t>
  </si>
  <si>
    <t>gev_speed_link</t>
  </si>
  <si>
    <t>铜线端速率匹配寄存器</t>
  </si>
  <si>
    <t>0x1400084</t>
  </si>
  <si>
    <t>dec2hex(speed_link)</t>
  </si>
  <si>
    <t>垂直binning</t>
  </si>
  <si>
    <t>Vertical binning</t>
  </si>
  <si>
    <t>leader_packet_size</t>
  </si>
  <si>
    <t>以太网传输leader包的大小（包含全部协议开销）</t>
  </si>
  <si>
    <t>eth_protocol_byte+header_in_payload+leader_size</t>
  </si>
  <si>
    <t>gmax_overlap_time_max</t>
  </si>
  <si>
    <t>0x0100_1024</t>
  </si>
  <si>
    <t>gmax系列相机交叠曝光时间最大值，单位us</t>
  </si>
  <si>
    <t>dec2hex(ExposureOverlapTimeMax)</t>
  </si>
  <si>
    <t>计算结果：</t>
  </si>
  <si>
    <t>trailer_packet_size</t>
  </si>
  <si>
    <t>以太网传输trailer包的大小（包含全部协议开销）</t>
  </si>
  <si>
    <t>eth_protocol_byte+header_in_payload+trailer_size</t>
  </si>
  <si>
    <t>gmax_exposure_mode</t>
  </si>
  <si>
    <t>0x0100_1020</t>
  </si>
  <si>
    <t>gmax系列相机系列相机曝光模式寄存器</t>
  </si>
  <si>
    <t>触发模式且曝光为TriggerWidth时为1，否则为0</t>
  </si>
  <si>
    <t>F</t>
  </si>
  <si>
    <t>frame_packet_size</t>
  </si>
  <si>
    <t>以太网传输image和chunk的大小（包含全部协议开销）</t>
  </si>
  <si>
    <t>complete_packet_num*(GevSCPSPacketSize+eth_protocol_byte)+incomplete_packet_num_min*(incomplete_packet_size_min+eth_protocol_byte+header_in_payload)</t>
  </si>
  <si>
    <t>all_packet_gap</t>
  </si>
  <si>
    <t>所有的帧间隔
（前导码和CRC校验已经在计算开销II时加过一次，这里只对最小帧间隔进行计算）</t>
  </si>
  <si>
    <t>(leader+trailer+incomplete_packet_num+complete_packet_num)*(GevSCPD,ifg_min)</t>
  </si>
  <si>
    <t>frame_size</t>
  </si>
  <si>
    <t>传输图像尺寸（包含全部协议开销与包间隔）</t>
  </si>
  <si>
    <t>leader_packet_size+trailer_packet_size+frame_packet_size+all_packet_gap</t>
  </si>
  <si>
    <t>eth_valid_bandwidth</t>
  </si>
  <si>
    <t>以太网有效传输带宽</t>
  </si>
  <si>
    <t>int(link_speed*(100-BandwidthReserve)*10/100/8)</t>
  </si>
  <si>
    <t>byte/10s</t>
  </si>
  <si>
    <t>backend_limit_period_time</t>
  </si>
  <si>
    <t>后端传输限制的帧周期</t>
  </si>
  <si>
    <t>ROUNDUP(ROUNDUP(1000000*frame_size/eth_valid_bandwidth*10)</t>
  </si>
  <si>
    <t>包间隔参数</t>
  </si>
  <si>
    <t>Copper packet gap set byte num</t>
  </si>
  <si>
    <t>用户设置的包间隔转译为铜线端传输对应的字节数</t>
  </si>
  <si>
    <t xml:space="preserve">MAX(ROUNDUP(GevSCPD*GevLinkSpeed/1000/8,0),ifg_min+8)        </t>
  </si>
  <si>
    <t>Byte</t>
  </si>
  <si>
    <t>Max gevSCPD byte num</t>
  </si>
  <si>
    <t>最大包间隔数据量（对应铜线端）</t>
  </si>
  <si>
    <t>ROUNDDOWN((1000000*eth_valid_bandwidth-(frame_packet_size+leader_packet_size+trailer_packet_size))/(complete_packet_num+incomplete_packet_num+2),0)</t>
  </si>
  <si>
    <t>IF(TiggerMode=0,max(readout_period_time,exp_period_time,tp_limit_period_time,fps_limit_period_time)+exp risky delay time,IF(ExposureMode="TriggerWidth",max(readout_period_time,exp_period_triggerwidth,fps_limit_period_time),max(readout_period_time,exp_period_time,fps_limit_period_time)+exp risky delay time)</t>
  </si>
  <si>
    <t>mars-4900-22gtx</t>
  </si>
  <si>
    <t>错误信息：</t>
  </si>
  <si>
    <t>当前参数不在范围16~图像宽度最大值内，请重新输入</t>
  </si>
  <si>
    <t>当前参数不在范围2~图像高度最大值内，请重新输入</t>
  </si>
  <si>
    <t>当前帧率计算表中参数计算出的帧率可能出现异常，请根据提示修改参数</t>
  </si>
  <si>
    <t>帧率计算是否正确：</t>
  </si>
  <si>
    <t>mars-2621-42gtx</t>
  </si>
  <si>
    <t>mars-561-200gtx</t>
  </si>
  <si>
    <t>gmax2505</t>
  </si>
  <si>
    <t>mars-900-117gtx</t>
  </si>
  <si>
    <t>gmax2509</t>
  </si>
  <si>
    <t>mars-1840-61gtx</t>
  </si>
  <si>
    <t>gmax2518</t>
  </si>
  <si>
    <t>roundup(ExposureTime+exp_start_delay+exp_end_delay+Tfot)+if(sequencer_configration_mode=0,0,sensor_config_time)+if(sequencer_configration_mode=1,0,ExposureDelay)</t>
  </si>
  <si>
    <t>ROUNDUP((1000000/fps_limit_value)*fps_limit,0))</t>
  </si>
  <si>
    <t>sensor前端带宽</t>
  </si>
  <si>
    <t>DDR前端剩余带宽</t>
  </si>
  <si>
    <t>DDR剩余后端带宽</t>
  </si>
  <si>
    <t>DDR前端剩余带宽-sensor前端带宽</t>
  </si>
  <si>
    <t>保证该值＞0</t>
  </si>
  <si>
    <t>sensor前端带宽-DDR剩余后端带宽</t>
  </si>
  <si>
    <t>保证该值几乎=0</t>
  </si>
  <si>
    <t>个</t>
  </si>
  <si>
    <t>PixelFormat(8/10)</t>
  </si>
  <si>
    <t>mars-1261-90u3x</t>
  </si>
  <si>
    <t>14~23需要测量获得，手册中没有具体数值</t>
  </si>
  <si>
    <t>测量值</t>
  </si>
  <si>
    <t>5.clk_sensor_ctrl</t>
  </si>
  <si>
    <t>6.phy num</t>
  </si>
  <si>
    <t>7.phy ch num</t>
  </si>
  <si>
    <t>8.isp_ch_num</t>
  </si>
  <si>
    <t>9.interpolation_x</t>
  </si>
  <si>
    <t>10.interpolation_y</t>
  </si>
  <si>
    <t>11.sensor_width_min</t>
  </si>
  <si>
    <t>12.sensor_height_min</t>
  </si>
  <si>
    <t>13.sensor_width_max</t>
  </si>
  <si>
    <t>14.sensor_height_max</t>
  </si>
  <si>
    <t>15.hmax</t>
  </si>
  <si>
    <t>16.VBmin</t>
  </si>
  <si>
    <t>17.ExpIntMin</t>
  </si>
  <si>
    <t>18.SFOT</t>
  </si>
  <si>
    <t>19.EFOT</t>
  </si>
  <si>
    <t>20.start_dly_coarse
(line_time)</t>
  </si>
  <si>
    <t>21.start_dly_fine
(us)</t>
  </si>
  <si>
    <t>22.end_dly_coarse
(line_time)</t>
  </si>
  <si>
    <t>23.end_dly_fine
(us)</t>
  </si>
  <si>
    <t>24.tp_row_num</t>
  </si>
  <si>
    <t>25.min_trigger_length</t>
  </si>
  <si>
    <t>26.info_row_num</t>
  </si>
  <si>
    <t>27.black_row_num</t>
  </si>
  <si>
    <t>28.Default ExposureTime</t>
  </si>
  <si>
    <t>29.Default FrameRate</t>
  </si>
  <si>
    <t>30.PixelFormat</t>
  </si>
  <si>
    <t>31.real_exp_offset</t>
  </si>
  <si>
    <t>32.gtx_clk</t>
  </si>
  <si>
    <t>33.sensor_config_time</t>
  </si>
  <si>
    <t>XGS12000</t>
  </si>
  <si>
    <t>tRow</t>
  </si>
  <si>
    <t>行周期</t>
  </si>
  <si>
    <t>ROUNDUP(1000*line_time_sensor/sequencer_clk),0)</t>
  </si>
  <si>
    <t>extclk</t>
  </si>
  <si>
    <t>Sensor_输入时钟频率
(Develop Guide P28 Table14)</t>
  </si>
  <si>
    <t>直接对应sensor映射表中的值
（匹配初始化文档pll配置寄存器）</t>
  </si>
  <si>
    <r>
      <rPr>
        <b/>
        <sz val="11"/>
        <color theme="1"/>
        <rFont val="微软雅黑"/>
        <family val="2"/>
        <charset val="134"/>
      </rPr>
      <t>IF(ExposureTimeMode="Ultra Short"）</t>
    </r>
    <r>
      <rPr>
        <sz val="11"/>
        <color theme="1"/>
        <rFont val="微软雅黑"/>
        <family val="2"/>
        <charset val="134"/>
      </rPr>
      <t xml:space="preserve">
   </t>
    </r>
    <r>
      <rPr>
        <b/>
        <sz val="11"/>
        <color theme="1"/>
        <rFont val="微软雅黑"/>
        <family val="2"/>
        <charset val="134"/>
      </rPr>
      <t xml:space="preserve"> IF(TriggerMode=1)  //极小曝光触发模式
            IF(triggercache=0)  //不使能触发缓存
                </t>
    </r>
    <r>
      <rPr>
        <sz val="11"/>
        <color theme="1"/>
        <rFont val="微软雅黑"/>
        <family val="2"/>
        <charset val="134"/>
      </rPr>
      <t>ROUNDUP(MAX(readout_period_time,exp_period_time,fps_limit_period_time),0)</t>
    </r>
    <r>
      <rPr>
        <b/>
        <sz val="11"/>
        <color theme="1"/>
        <rFont val="微软雅黑"/>
        <family val="2"/>
        <charset val="134"/>
      </rPr>
      <t xml:space="preserve">
            else  //使能触发缓存</t>
    </r>
    <r>
      <rPr>
        <sz val="11"/>
        <color theme="1"/>
        <rFont val="微软雅黑"/>
        <family val="2"/>
        <charset val="134"/>
      </rPr>
      <t xml:space="preserve">
                ROUNDUP(MAX(readout_period_time,exp_period_time,fps_limit_period_time,tp_limit_period_time),0))
    </t>
    </r>
    <r>
      <rPr>
        <b/>
        <sz val="11"/>
        <color theme="1"/>
        <rFont val="微软雅黑"/>
        <family val="2"/>
        <charset val="134"/>
      </rPr>
      <t>else  //极小曝光连续模式</t>
    </r>
    <r>
      <rPr>
        <sz val="11"/>
        <color theme="1"/>
        <rFont val="微软雅黑"/>
        <family val="2"/>
        <charset val="134"/>
      </rPr>
      <t xml:space="preserve">
        ROUNDUP(MAX(readout_period_time,exp_period_time,fps_limit_period_time,tp_limit_period_time),0))
</t>
    </r>
    <r>
      <rPr>
        <b/>
        <sz val="11"/>
        <color theme="1"/>
        <rFont val="微软雅黑"/>
        <family val="2"/>
        <charset val="134"/>
      </rPr>
      <t>else</t>
    </r>
    <r>
      <rPr>
        <sz val="11"/>
        <color theme="1"/>
        <rFont val="微软雅黑"/>
        <family val="2"/>
        <charset val="134"/>
      </rPr>
      <t xml:space="preserve">
   </t>
    </r>
    <r>
      <rPr>
        <b/>
        <sz val="11"/>
        <color theme="1"/>
        <rFont val="微软雅黑"/>
        <family val="2"/>
        <charset val="134"/>
      </rPr>
      <t xml:space="preserve"> IF(TriggerMode=1)</t>
    </r>
    <r>
      <rPr>
        <sz val="11"/>
        <color theme="1"/>
        <rFont val="微软雅黑"/>
        <family val="2"/>
        <charset val="134"/>
      </rPr>
      <t xml:space="preserve">
       </t>
    </r>
    <r>
      <rPr>
        <b/>
        <sz val="11"/>
        <color theme="1"/>
        <rFont val="微软雅黑"/>
        <family val="2"/>
        <charset val="134"/>
      </rPr>
      <t xml:space="preserve"> IF(ExposureMode="TriggerWidth")  //标准曝光triggerwidth模式</t>
    </r>
    <r>
      <rPr>
        <sz val="11"/>
        <color theme="1"/>
        <rFont val="微软雅黑"/>
        <family val="2"/>
        <charset val="134"/>
      </rPr>
      <t xml:space="preserve">
            ROUNDUP(MAX(readout_period_time,exp_period_triggerwidth,fps_limit_period_time)*J6/1000,0),
        </t>
    </r>
    <r>
      <rPr>
        <b/>
        <sz val="11"/>
        <color theme="1"/>
        <rFont val="微软雅黑"/>
        <family val="2"/>
        <charset val="134"/>
      </rPr>
      <t>else  //标准曝光timed触发模式
            IF(triggercache=0)  //不使能触发缓存</t>
    </r>
    <r>
      <rPr>
        <sz val="11"/>
        <color theme="1"/>
        <rFont val="微软雅黑"/>
        <family val="2"/>
        <charset val="134"/>
      </rPr>
      <t xml:space="preserve">
                ROUNDUP(MAX(readout_period_time,exp_period_time,fps_limit_period_time)*J6/1000,0)),
            </t>
    </r>
    <r>
      <rPr>
        <b/>
        <sz val="11"/>
        <color theme="1"/>
        <rFont val="微软雅黑"/>
        <family val="2"/>
        <charset val="134"/>
      </rPr>
      <t>else  //使能触发缓存</t>
    </r>
    <r>
      <rPr>
        <sz val="11"/>
        <color theme="1"/>
        <rFont val="微软雅黑"/>
        <family val="2"/>
        <charset val="134"/>
      </rPr>
      <t xml:space="preserve">
                 ROUNDUP(MAX(readout_period_time,exp_period_time,fps_limit_period_time,tp_limit_period_time)*J6/1000,0))
    </t>
    </r>
    <r>
      <rPr>
        <b/>
        <sz val="11"/>
        <color theme="1"/>
        <rFont val="微软雅黑"/>
        <family val="2"/>
        <charset val="134"/>
      </rPr>
      <t>else  //标准曝光连续模式</t>
    </r>
    <r>
      <rPr>
        <sz val="11"/>
        <color theme="1"/>
        <rFont val="微软雅黑"/>
        <family val="2"/>
        <charset val="134"/>
      </rPr>
      <t xml:space="preserve">
        ROUNDUP(MAX(readout_period_time,exp_period_time,fps_limit_period_time,tp_limit_period_time)*J6/1000,0))</t>
    </r>
  </si>
  <si>
    <t>sequencer_clk</t>
  </si>
  <si>
    <t>Sensor_工作时钟频率
(用于计算行周期)</t>
  </si>
  <si>
    <t>extclk*2</t>
  </si>
  <si>
    <t>clk_pix</t>
  </si>
  <si>
    <t>FPGA_像素时钟频率
(用于计算PGI行消隐)</t>
  </si>
  <si>
    <t>clk_sensor_ctrl</t>
  </si>
  <si>
    <t>FPGA_Sensor_ctrl时钟频率
(用于计算行周期)</t>
  </si>
  <si>
    <t>直接对应sensor映射表中的值</t>
  </si>
  <si>
    <r>
      <rPr>
        <b/>
        <sz val="11"/>
        <color theme="1"/>
        <rFont val="微软雅黑"/>
        <family val="2"/>
        <charset val="134"/>
      </rPr>
      <t>IF(ExposureTimeMode="Ultra Short"</t>
    </r>
    <r>
      <rPr>
        <sz val="11"/>
        <color theme="1"/>
        <rFont val="微软雅黑"/>
        <family val="2"/>
        <charset val="134"/>
      </rPr>
      <t xml:space="preserve">,
ROUNDUP((Height+VBmin+tp_row_num+info_row_num+black_row_num)*tRow/1000,0),
</t>
    </r>
    <r>
      <rPr>
        <b/>
        <sz val="11"/>
        <color theme="1"/>
        <rFont val="微软雅黑"/>
        <family val="2"/>
        <charset val="134"/>
      </rPr>
      <t>else</t>
    </r>
    <r>
      <rPr>
        <sz val="11"/>
        <color theme="1"/>
        <rFont val="微软雅黑"/>
        <family val="2"/>
        <charset val="134"/>
      </rPr>
      <t xml:space="preserve">
Height+VBmin+tp_row_num+info_row_num+black_row_num)</t>
    </r>
  </si>
  <si>
    <t>line_time_sensor</t>
  </si>
  <si>
    <t>Sensor行周期
(绝对时间与FPGA行周期一致)
(12bit下翻倍)</t>
  </si>
  <si>
    <r>
      <rPr>
        <b/>
        <sz val="11"/>
        <color theme="1"/>
        <rFont val="微软雅黑"/>
        <family val="2"/>
        <charset val="134"/>
      </rPr>
      <t>IF(ExposureTimeMode="Ultra Short",</t>
    </r>
    <r>
      <rPr>
        <sz val="11"/>
        <color theme="1"/>
        <rFont val="微软雅黑"/>
        <family val="2"/>
        <charset val="134"/>
      </rPr>
      <t xml:space="preserve">
exp_period_ultrashort,
</t>
    </r>
    <r>
      <rPr>
        <b/>
        <sz val="11"/>
        <color theme="1"/>
        <rFont val="微软雅黑"/>
        <family val="2"/>
        <charset val="134"/>
      </rPr>
      <t>else</t>
    </r>
    <r>
      <rPr>
        <sz val="11"/>
        <color theme="1"/>
        <rFont val="微软雅黑"/>
        <family val="2"/>
        <charset val="134"/>
      </rPr>
      <t xml:space="preserve">
exp_period_stardard)</t>
    </r>
  </si>
  <si>
    <t>line_time_fpga</t>
  </si>
  <si>
    <t>FPGA行周期
(绝对时间与sensor行周期一致)
(12bit下翻倍)</t>
  </si>
  <si>
    <t>ROUNDUP(line_time_sensor/sequencer_clk*clk_sensor,0)</t>
  </si>
  <si>
    <t>clk_sensor</t>
  </si>
  <si>
    <t>ExposureTimeMode</t>
  </si>
  <si>
    <t>曝光时间模式</t>
  </si>
  <si>
    <t>Standard</t>
  </si>
  <si>
    <r>
      <rPr>
        <b/>
        <sz val="11"/>
        <color theme="1"/>
        <rFont val="微软雅黑"/>
        <family val="2"/>
        <charset val="134"/>
      </rPr>
      <t>IF(ExposureTimeMode="Ultra Short",</t>
    </r>
    <r>
      <rPr>
        <sz val="11"/>
        <color theme="1"/>
        <rFont val="微软雅黑"/>
        <family val="2"/>
        <charset val="134"/>
      </rPr>
      <t xml:space="preserve">
ROUNDUP(((100000/AcquisitionFrameRate))*AcquisitionFrameRateMode,0),
</t>
    </r>
    <r>
      <rPr>
        <b/>
        <sz val="11"/>
        <color theme="1"/>
        <rFont val="微软雅黑"/>
        <family val="2"/>
        <charset val="134"/>
      </rPr>
      <t>else</t>
    </r>
    <r>
      <rPr>
        <sz val="11"/>
        <color theme="1"/>
        <rFont val="微软雅黑"/>
        <family val="2"/>
        <charset val="134"/>
      </rPr>
      <t xml:space="preserve">
ROUNDUP(((100000000/AcquisitionFrameRate)/tRow)*AcquisitionFrameRateMode,0))</t>
    </r>
  </si>
  <si>
    <t>line_time_sensor_real</t>
  </si>
  <si>
    <t>Sensor行周期
(实际设置值)</t>
  </si>
  <si>
    <t>interpolation_y</t>
  </si>
  <si>
    <t>有效像素边界
(手册PIXEL ARRAY READOUT章节，图示)</t>
  </si>
  <si>
    <t>最小帧消隐行数
(读出帧周期、非交叠的极小曝光曝光帧周期中需要添加)</t>
  </si>
  <si>
    <t>exp_time_sensor</t>
  </si>
  <si>
    <t>SENSOR曝光时间寄存器(极小曝光)</t>
  </si>
  <si>
    <r>
      <rPr>
        <b/>
        <sz val="11"/>
        <rFont val="微软雅黑"/>
        <family val="2"/>
        <charset val="134"/>
      </rPr>
      <t>IF(ExposureTimeMode="Ultra Short",</t>
    </r>
    <r>
      <rPr>
        <sz val="11"/>
        <rFont val="微软雅黑"/>
        <family val="2"/>
        <charset val="134"/>
      </rPr>
      <t xml:space="preserve">
ROUNDUP(((ExposureTime-real_exp_offset)*Fclk),0),
</t>
    </r>
    <r>
      <rPr>
        <b/>
        <sz val="11"/>
        <rFont val="微软雅黑"/>
        <family val="2"/>
        <charset val="134"/>
      </rPr>
      <t>else</t>
    </r>
    <r>
      <rPr>
        <sz val="11"/>
        <rFont val="微软雅黑"/>
        <family val="2"/>
        <charset val="134"/>
      </rPr>
      <t xml:space="preserve">
"-")</t>
    </r>
  </si>
  <si>
    <t>ExpIntMin</t>
  </si>
  <si>
    <t>两次曝光间隔最小值</t>
  </si>
  <si>
    <t>FPGA曝光时间寄存器</t>
  </si>
  <si>
    <r>
      <rPr>
        <b/>
        <sz val="11"/>
        <color theme="1"/>
        <rFont val="微软雅黑"/>
        <family val="2"/>
        <charset val="134"/>
      </rPr>
      <t>IF(ExposureTimeMode="Ultra Short",</t>
    </r>
    <r>
      <rPr>
        <sz val="11"/>
        <color theme="1"/>
        <rFont val="微软雅黑"/>
        <family val="2"/>
        <charset val="134"/>
      </rPr>
      <t xml:space="preserve">
ExposureTime,
</t>
    </r>
    <r>
      <rPr>
        <b/>
        <sz val="11"/>
        <color theme="1"/>
        <rFont val="微软雅黑"/>
        <family val="2"/>
        <charset val="134"/>
      </rPr>
      <t>else</t>
    </r>
    <r>
      <rPr>
        <sz val="11"/>
        <color theme="1"/>
        <rFont val="微软雅黑"/>
        <family val="2"/>
        <charset val="134"/>
      </rPr>
      <t xml:space="preserve">
MAX(ROUNDUP((((ExposureTime-exp_end_dly)*1000)/tRow),0),1))</t>
    </r>
  </si>
  <si>
    <t>exp_start_dly_coarse</t>
  </si>
  <si>
    <t>曝光起始延迟(整数行部分)</t>
  </si>
  <si>
    <r>
      <rPr>
        <b/>
        <sz val="11"/>
        <rFont val="微软雅黑"/>
        <family val="2"/>
        <charset val="134"/>
      </rPr>
      <t>IF(ExposureTimeMode="Ultra Short",</t>
    </r>
    <r>
      <rPr>
        <sz val="11"/>
        <rFont val="微软雅黑"/>
        <family val="2"/>
        <charset val="134"/>
      </rPr>
      <t xml:space="preserve">
ExposureDelay,
</t>
    </r>
    <r>
      <rPr>
        <b/>
        <sz val="11"/>
        <rFont val="微软雅黑"/>
        <family val="2"/>
        <charset val="134"/>
      </rPr>
      <t>else</t>
    </r>
    <r>
      <rPr>
        <sz val="11"/>
        <rFont val="微软雅黑"/>
        <family val="2"/>
        <charset val="134"/>
      </rPr>
      <t xml:space="preserve">
ROUNDUP(((ExposureDelay*1000)/tRow),0))</t>
    </r>
  </si>
  <si>
    <t>exp_start_dly_fine</t>
  </si>
  <si>
    <t>曝光起始延迟(us部分)</t>
  </si>
  <si>
    <t>strobe_time</t>
  </si>
  <si>
    <t>闪光灯信号宽度</t>
  </si>
  <si>
    <r>
      <rPr>
        <b/>
        <sz val="11"/>
        <color theme="1"/>
        <rFont val="微软雅黑"/>
        <family val="2"/>
        <charset val="134"/>
      </rPr>
      <t>IF(ExposureTimeMode="Ultra Short",</t>
    </r>
    <r>
      <rPr>
        <sz val="11"/>
        <color theme="1"/>
        <rFont val="微软雅黑"/>
        <family val="2"/>
        <charset val="134"/>
      </rPr>
      <t xml:space="preserve">
200,
</t>
    </r>
    <r>
      <rPr>
        <b/>
        <sz val="11"/>
        <color theme="1"/>
        <rFont val="微软雅黑"/>
        <family val="2"/>
        <charset val="134"/>
      </rPr>
      <t>else</t>
    </r>
    <r>
      <rPr>
        <sz val="11"/>
        <color theme="1"/>
        <rFont val="微软雅黑"/>
        <family val="2"/>
        <charset val="134"/>
      </rPr>
      <t xml:space="preserve">
MAX((exp_time+exp_start_dly_total+4*tRow/1000),100us))</t>
    </r>
  </si>
  <si>
    <t>exp_start_dly_total</t>
  </si>
  <si>
    <t>曝光起始延迟</t>
  </si>
  <si>
    <t>ROUNDUP(exp_start_dly_coarse*1000/sequencer_clk+exp_start_dly_fine,0)</t>
  </si>
  <si>
    <t>readout_time</t>
  </si>
  <si>
    <t>实际读出时间
(不含VBmin、行暂停)</t>
  </si>
  <si>
    <r>
      <rPr>
        <b/>
        <sz val="11"/>
        <color theme="1"/>
        <rFont val="微软雅黑"/>
        <family val="2"/>
        <charset val="134"/>
      </rPr>
      <t>IF(ExposureTimeMode="Ultra Short",</t>
    </r>
    <r>
      <rPr>
        <sz val="11"/>
        <color theme="1"/>
        <rFont val="微软雅黑"/>
        <family val="2"/>
        <charset val="134"/>
      </rPr>
      <t xml:space="preserve">
ROUNDUP((Height+info_row_num+black_row_num)*tRow/1000,0),
</t>
    </r>
    <r>
      <rPr>
        <b/>
        <sz val="11"/>
        <color theme="1"/>
        <rFont val="微软雅黑"/>
        <family val="2"/>
        <charset val="134"/>
      </rPr>
      <t>else</t>
    </r>
    <r>
      <rPr>
        <sz val="11"/>
        <color theme="1"/>
        <rFont val="微软雅黑"/>
        <family val="2"/>
        <charset val="134"/>
      </rPr>
      <t xml:space="preserve">
Height+info_row_num+black_row_num)</t>
    </r>
  </si>
  <si>
    <t>exp_end_dly_coarse</t>
  </si>
  <si>
    <t>曝光结束延迟(整数行部分)</t>
  </si>
  <si>
    <t>exp_end_dly_fine</t>
  </si>
  <si>
    <t>曝光结束延迟(us部分)</t>
  </si>
  <si>
    <t>exp_end_dly_total</t>
  </si>
  <si>
    <t>ROUNDUP(exp_end_dly_coarse*1000/sequencer_clk+exp_end_dly_fine,0)</t>
  </si>
  <si>
    <t>行暂停行数
(读出帧周期中需要添加)</t>
  </si>
  <si>
    <t>min_trigger_length</t>
  </si>
  <si>
    <t>最小触发行数
(sensor缺陷，防护FPGA发出的触发宽度不小于最小触发行数)</t>
  </si>
  <si>
    <t>info_row_num</t>
  </si>
  <si>
    <t>信息行行数
(读出帧周期中需要添加)</t>
  </si>
  <si>
    <t>black_row_num</t>
  </si>
  <si>
    <t>黑行行数
(读出帧周期中需要添加)</t>
  </si>
  <si>
    <t>slave_hmax</t>
  </si>
  <si>
    <t>0x01000BFC</t>
  </si>
  <si>
    <t>FPGA行周期</t>
  </si>
  <si>
    <t>dec2hex(hmax)</t>
  </si>
  <si>
    <t>单位为clk_sensor_ctrl
绝对时间：
标准曝光模式为1倍sensor端行周期
极小曝光模式为1us</t>
  </si>
  <si>
    <t>0x01000E00</t>
  </si>
  <si>
    <t>real_exp_offset</t>
  </si>
  <si>
    <t>曝光时间偏差值
(设置sensor曝光时间寄存器时消除偏差)</t>
  </si>
  <si>
    <t>xgs_exposure_delay</t>
  </si>
  <si>
    <t>0x01000C00</t>
  </si>
  <si>
    <t>xgs系列相机曝光延时，仅用于配合闪光灯补光使用，单位是行或us。</t>
  </si>
  <si>
    <t>dec2hex(ExpDelayLine)</t>
  </si>
  <si>
    <t>0x01000E04</t>
  </si>
  <si>
    <t>xgs_exposure_time</t>
  </si>
  <si>
    <t>0x01000C04</t>
  </si>
  <si>
    <t>xgs系列相机曝光时间，单位是行或us。</t>
  </si>
  <si>
    <t>dec2hex(exp_line_num)</t>
  </si>
  <si>
    <t>0x01000E08</t>
  </si>
  <si>
    <t>xgs_readout_time</t>
  </si>
  <si>
    <t>0x01000C14</t>
  </si>
  <si>
    <t>xgs系列相机读出时间，表示图像传输时间，单位是行或us</t>
  </si>
  <si>
    <t>dec2hex(readout_period_time)</t>
  </si>
  <si>
    <t>0x01000E0C</t>
  </si>
  <si>
    <t>xgs_trigger_interval_cont</t>
  </si>
  <si>
    <t>0x01000C08</t>
  </si>
  <si>
    <t>xgs系列相机触发间隔-连续模式，表示帧周期，单位是行或us。</t>
  </si>
  <si>
    <t>dec2hex(FramePeriod)</t>
  </si>
  <si>
    <t>0x01000E10</t>
  </si>
  <si>
    <t>xgs_trigger_interval_trig</t>
  </si>
  <si>
    <t>0x01000C0C</t>
  </si>
  <si>
    <t xml:space="preserve">xgs系列相机触发间隔-触发模式，表示帧周期，单位是行或us。 </t>
  </si>
  <si>
    <t>0x01000E14</t>
  </si>
  <si>
    <t>xgs_trigger_interval_single</t>
  </si>
  <si>
    <t>0x01000C10</t>
  </si>
  <si>
    <t>单帧模式下的帧周期寄存器，单位是行或us。 
计算方法为读出帧周期、曝光帧周期两者的最大值</t>
  </si>
  <si>
    <t>0x01000E18</t>
  </si>
  <si>
    <t>exp_overlaptime_max
line_num</t>
  </si>
  <si>
    <t>交叠曝光时间对应的行数</t>
  </si>
  <si>
    <t>MAX(INT(ExposureOverlapTimeMax*1000/tRow),1)</t>
  </si>
  <si>
    <t>xgs_ultra_short_exp_en</t>
  </si>
  <si>
    <t>0x01000BF8</t>
  </si>
  <si>
    <t>xgs系列相机极小曝光使能，单位是行或us。</t>
  </si>
  <si>
    <t>IF(Ultrashort,1,0)</t>
  </si>
  <si>
    <t>极小曝光使能，切换极小曝光时需要设置
（停采+sensor_standby）</t>
  </si>
  <si>
    <t>0x01000E1C</t>
  </si>
  <si>
    <r>
      <rPr>
        <b/>
        <sz val="11"/>
        <rFont val="微软雅黑"/>
        <family val="2"/>
        <charset val="134"/>
      </rPr>
      <t>IF((TriggerMode=1)*(ExposureMode="TriggerWidth"),</t>
    </r>
    <r>
      <rPr>
        <sz val="11"/>
        <rFont val="微软雅黑"/>
        <family val="2"/>
        <charset val="134"/>
      </rPr>
      <t xml:space="preserve">
    readout_period_time+
    </t>
    </r>
    <r>
      <rPr>
        <b/>
        <sz val="11"/>
        <rFont val="微软雅黑"/>
        <family val="2"/>
        <charset val="134"/>
      </rPr>
      <t>IF(ROUNDUP((1000*TriggerWidthLength/tRow),0)&gt;exp_overlaptime_maxline_num,</t>
    </r>
    <r>
      <rPr>
        <sz val="11"/>
        <rFont val="微软雅黑"/>
        <family val="2"/>
        <charset val="134"/>
      </rPr>
      <t xml:space="preserve">
        ROUNDUP((1000*TriggerWidthLength/tRow),0)-exp_overlaptime_maxline_num,
    </t>
    </r>
    <r>
      <rPr>
        <b/>
        <sz val="11"/>
        <rFont val="微软雅黑"/>
        <family val="2"/>
        <charset val="134"/>
      </rPr>
      <t>else</t>
    </r>
    <r>
      <rPr>
        <sz val="11"/>
        <rFont val="微软雅黑"/>
        <family val="2"/>
        <charset val="134"/>
      </rPr>
      <t xml:space="preserve">
        0,
</t>
    </r>
    <r>
      <rPr>
        <b/>
        <sz val="11"/>
        <rFont val="微软雅黑"/>
        <family val="2"/>
        <charset val="134"/>
      </rPr>
      <t>else</t>
    </r>
    <r>
      <rPr>
        <sz val="11"/>
        <rFont val="微软雅黑"/>
        <family val="2"/>
        <charset val="134"/>
      </rPr>
      <t xml:space="preserve">
    "null"                                                                                                                                                                                                                                               </t>
    </r>
  </si>
  <si>
    <t>xgs_exposure_mode</t>
  </si>
  <si>
    <t>0x01000C18</t>
  </si>
  <si>
    <t>xgs系列相机系列相机曝光模式寄存器</t>
  </si>
  <si>
    <t>0x01000E20</t>
  </si>
  <si>
    <r>
      <rPr>
        <b/>
        <sz val="11"/>
        <rFont val="微软雅黑"/>
        <family val="2"/>
        <charset val="134"/>
      </rPr>
      <t>IF((TriggerMode=1)*(ExposureMode="TriggerWidth"),</t>
    </r>
    <r>
      <rPr>
        <sz val="11"/>
        <rFont val="微软雅黑"/>
        <family val="2"/>
        <charset val="134"/>
      </rPr>
      <t xml:space="preserve">
    </t>
    </r>
    <r>
      <rPr>
        <b/>
        <sz val="11"/>
        <rFont val="微软雅黑"/>
        <family val="2"/>
        <charset val="134"/>
      </rPr>
      <t>IF(TriggerWidthLength&gt;ExposureOverlapTimeMax,</t>
    </r>
    <r>
      <rPr>
        <sz val="11"/>
        <rFont val="微软雅黑"/>
        <family val="2"/>
        <charset val="134"/>
      </rPr>
      <t xml:space="preserve">
        (ROUNDUP((1000*TriggerWidthLength/tRow),0)*tRow)/1000+exp_end_dly,
    </t>
    </r>
    <r>
      <rPr>
        <b/>
        <sz val="11"/>
        <rFont val="微软雅黑"/>
        <family val="2"/>
        <charset val="134"/>
      </rPr>
      <t>else</t>
    </r>
    <r>
      <rPr>
        <sz val="11"/>
        <rFont val="微软雅黑"/>
        <family val="2"/>
        <charset val="134"/>
      </rPr>
      <t xml:space="preserve">
        (ROUNDUP((1000*ExposureOverlapTimeMax/tRow),0)*tRow)/1000)+exp_end_dly,
</t>
    </r>
    <r>
      <rPr>
        <b/>
        <sz val="11"/>
        <rFont val="微软雅黑"/>
        <family val="2"/>
        <charset val="134"/>
      </rPr>
      <t>else</t>
    </r>
    <r>
      <rPr>
        <sz val="11"/>
        <rFont val="微软雅黑"/>
        <family val="2"/>
        <charset val="134"/>
      </rPr>
      <t xml:space="preserve">
    "null"                                                                                                                                                                                                                                                 </t>
    </r>
  </si>
  <si>
    <t>xgs_overlap_time_max</t>
  </si>
  <si>
    <t>0x01000C1C</t>
  </si>
  <si>
    <t>xgs系列相机交叠曝光时间最大值，单位是行周期。</t>
  </si>
  <si>
    <t>0x01000E24</t>
  </si>
  <si>
    <t>曝光帧周期计算</t>
  </si>
  <si>
    <t>sensor_line_time</t>
  </si>
  <si>
    <t>0x01000C20</t>
  </si>
  <si>
    <t>SENSOR端行周期</t>
  </si>
  <si>
    <t>dec2hex(ROUNDUP(line_time_sensor_real/sequencer_clk*clk_sensor_ctrl,0))</t>
  </si>
  <si>
    <t>关联sensor缺陷：xhs前100ns风险区
描述：该寄存器反映sensor的行周期，应用于风险区判断，与slave_hmax寄存器的区别是，任何模式下都都对应1倍sensor端行周期
设置时机：停采可设，行周期变化时需要设置（切模式、修改skipping）</t>
  </si>
  <si>
    <t>0x01000E2C</t>
  </si>
  <si>
    <t>exp_period_ultrashort</t>
  </si>
  <si>
    <t>极小曝光模式时的曝光时间决定的帧周期</t>
  </si>
  <si>
    <t>xtrig_length+exp_delay_time+readout_time+exp_start_dly+ExpIntMin*tRow/1000</t>
  </si>
  <si>
    <t>exp_period_stardard</t>
  </si>
  <si>
    <t>标准曝光模式时的曝光时间决定的帧周期</t>
  </si>
  <si>
    <t>xtrig_length+exp_delay_line_num+(exp_start_dly)*1000)/tRow+ExpIntMin+
if(sequencer_configration_mode=0,0,sensor_config_time)+
if(sequencer_configration_mode=1,0,ExposureDelay)</t>
  </si>
  <si>
    <t>ROUNDUP(img_row_time*freq_pix_clk/1000,0)-Width/isp_ch_num</t>
  </si>
  <si>
    <t>sensor寄存器(0x1000_0000)</t>
  </si>
  <si>
    <t>integration_offset_coarse_reg</t>
  </si>
  <si>
    <t>0x3840</t>
  </si>
  <si>
    <t>短曝光模式下，曝光时间寄存器，单位line_time_sensor</t>
  </si>
  <si>
    <t>IF(ExposureTimeMode="Ultra short",DEC2HEX(ROUNDDOWN(ultra_short_time/line_time_sensor_real),0),"-")</t>
  </si>
  <si>
    <t>极小曝光模式下，需要设置coarse曝光寄存器和fine曝光寄存器，一个以行周期为单位进行粗调，一个以时钟位单位进行精调。</t>
  </si>
  <si>
    <t>integration_offset_fine_reg</t>
  </si>
  <si>
    <t>0x3842</t>
  </si>
  <si>
    <t>短曝光模式下，曝光时间寄存器，单位sequencer_clk</t>
  </si>
  <si>
    <t>line_time_reg</t>
  </si>
  <si>
    <t>0x3810</t>
  </si>
  <si>
    <t>sensor行周期寄存器</t>
  </si>
  <si>
    <t>"0x"&amp;DEC2HEX(line_time_sensor_real)</t>
  </si>
  <si>
    <t>1、切8/10/12模式时需要修改sensor行周期；
2、修改水平skipping时需要修改sensor行周期</t>
  </si>
  <si>
    <t>Parameter input：</t>
  </si>
  <si>
    <t>SensorBitDepth</t>
  </si>
  <si>
    <t>BPP8</t>
  </si>
  <si>
    <t>mars-2440</t>
  </si>
  <si>
    <t>动态位深</t>
  </si>
  <si>
    <t>3.Master Clock (KHz)</t>
  </si>
  <si>
    <t>4.pixel_clk(MHz)</t>
  </si>
  <si>
    <t>13.hmax</t>
  </si>
  <si>
    <t>14.Vbmin</t>
  </si>
  <si>
    <t>15.ExpIntMin</t>
  </si>
  <si>
    <t>16.tOFFSET(ns)</t>
  </si>
  <si>
    <t>17.tTGDLY</t>
  </si>
  <si>
    <t>18.PixelFormat</t>
  </si>
  <si>
    <t>19.Default exposureTime</t>
  </si>
  <si>
    <t>20.Default pic_width</t>
  </si>
  <si>
    <t>21.Default pic_height</t>
  </si>
  <si>
    <t>22.Default FrameRate</t>
  </si>
  <si>
    <t>23.gtx_clk</t>
  </si>
  <si>
    <t>24.OB行</t>
  </si>
  <si>
    <t>25.FPGA platform</t>
  </si>
  <si>
    <t>26.sensor_config_time</t>
  </si>
  <si>
    <t>27.exp_overlap_th(us)</t>
  </si>
  <si>
    <t>IMX540</t>
  </si>
  <si>
    <t>像素格式(8/10/12)</t>
  </si>
  <si>
    <t>ROUNDUP(1000000*hmax/Finck),0)</t>
  </si>
  <si>
    <t>mars-2020</t>
  </si>
  <si>
    <t>IMX541</t>
  </si>
  <si>
    <t xml:space="preserve">IF(ExposureTimeMode="Ultra Short"）
IF(TriggerMode=1,ROUNDUP(MAX(readout_period_time,exp_period_time,fps_limit_period_time),0),ROUNDUP(MAX(readout_period_time,exp_period_time,fps_limit_period_time,tp_limit_period_time),0))
else
IF(TriggerMode=1,IF(ExposureMode="TriggerWidth",ROUNDUP(MAX(readout_period_time,exp_period_triggerwidth,fps_limit_period_time)*J6/1000,0),ROUNDUP(MAX(readout_period_time,exp_period_time,fps_limit_period_time)*J6/1000,0)),IF(triggercache=0,ROUNDUP(MAX(readout_period_time,exp_period_time,fps_limit_period_time)*J6/1000,0),ROUNDUP(MAX(readout_period_time,exp_period_time,fps_limit_period_time,tp_limit_period_time)*J6/1000,0)ROUNDUP(MAX(readout_period_time,exp_period_time,fps_limit_period_time,tp_limit_period_time)*J6/1000,0))
</t>
  </si>
  <si>
    <t>Finck</t>
  </si>
  <si>
    <t>Sensor输入时钟频率
(手册第一页Features Input frequency)</t>
  </si>
  <si>
    <t>37.125 or 74.25 抖动幅度0.96~1.02</t>
  </si>
  <si>
    <t>KHz</t>
  </si>
  <si>
    <t>mars-1610</t>
  </si>
  <si>
    <t>IMX542</t>
  </si>
  <si>
    <t>margin_x</t>
  </si>
  <si>
    <t>有效像素边界
(手册Pixel Arrangement章节，图示)</t>
  </si>
  <si>
    <t>margin_y</t>
  </si>
  <si>
    <t>IF(ExposureTimeMode="Ultra Short",ROUNDUP((Height+VBmin)*tRow/1000,0)+10,Height+VBmin)</t>
  </si>
  <si>
    <t>hmax</t>
  </si>
  <si>
    <t>每行宽度
(手册Readout Drive Modes章节，见表格，All pixel模式)
注：10bit/12bit下
imx540行周期加倍</t>
  </si>
  <si>
    <t>IF(ExposureTimeMode="Ultra Short",exp_period_ultrashort,exp_period_stardard+if(sequencer_configration_mode=0,0,sensor_config_time))</t>
  </si>
  <si>
    <t>Vbmin</t>
  </si>
  <si>
    <t>最小帧消隐行数
(手册Global Shutter (Sequential Trigger Mode) Operation章节，VTR公式最后一个参数)</t>
  </si>
  <si>
    <t>IF(ExposureTimeMode="Ultra Short",ROUNDUP(((1000000/fps_limit_value))*fps_limit,0),ROUNDUP(((1000000000/fps_limit_value)/img_row_time)*fps_limit,0))</t>
  </si>
  <si>
    <t>两次曝光间隔最小值
(手册Global Shutter (Sequential Trigger Mode) Operation章节，表格Parameter List of Global Shutter中的tTGES+1)</t>
  </si>
  <si>
    <t>tOFFSET</t>
  </si>
  <si>
    <t>曝光时间误差
(手册Global Shutter (Sequential Trigger Mode) Operation章节，Exposuretime[s]公式最后一个参数)</t>
  </si>
  <si>
    <t>exp_overlap_th</t>
  </si>
  <si>
    <t>交叠-非交叠曝光时间分界值
（timed普通曝光模式下小曝光区间强制非交叠，低于分界值按us曝光；大曝光区间可以交叠，高于分界值按行周期整数倍曝光）</t>
  </si>
  <si>
    <t>xtrig_length</t>
  </si>
  <si>
    <t>曝光信号实际长度</t>
  </si>
  <si>
    <t>IF(ExposureTimeMode="Ultra Short",IF(ExposureTime&gt;INT(tOFFSET/1000),ROUNDUP((ExposureTime*1000-tOFFSET)/1000,0),1),MAX(ROUNDUP(((ExposureTime*1000-tOFFSET)/tRow),0),1))</t>
  </si>
  <si>
    <t>tTGDLY</t>
  </si>
  <si>
    <t>xtrig_length_us</t>
  </si>
  <si>
    <t>曝光信号实际长度(us)</t>
  </si>
  <si>
    <t>IF(ExposureTimeMode="Ultra Short",0,IF((ExposureTime&gt;INT(tOFFSET/1000))*(ExposureTime&lt;=exp_overlap_th)*Horizontal Skipping=1*Vertical Skipping=1),ROUNDUP((ExposureTime*1000-tOFFSET)/1000,0),0))</t>
  </si>
  <si>
    <t>曝光延迟行数</t>
  </si>
  <si>
    <t>IF(ExposureTimeMode="Ultra Short",ExposureDelay,ROUNDUP(((1000*ExposureDelay)/tRow),0))</t>
  </si>
  <si>
    <t>极小曝光时，闪光灯维持时间至少比曝光时间要展宽4us；普通曝光时，闪光灯维持时间至少比曝光时间要展宽4个行周期</t>
  </si>
  <si>
    <t>IF(ExposureTimeMode="Ultra Short",200,IF((exp_time+4*tRow/1000))&gt;100us,(exp_time+4*tRow/1000),100us))</t>
  </si>
  <si>
    <t>实际读出时间
(Sequential Trigger Mode) Operation章节，表格Parameter List of Global Shutter中的tTGDLY)</t>
  </si>
  <si>
    <t>IF(ExposureTimeMode="Ultra Short",ROUNDUP((pic_height+11+tTGDLY)*tRow/1000,0),pic_height+11+tTGDLY)</t>
  </si>
  <si>
    <t>sonyimx_readout_time</t>
  </si>
  <si>
    <t>0x100_084c</t>
  </si>
  <si>
    <t>FPGA读出时间寄存器</t>
  </si>
  <si>
    <t>0x100_0800</t>
  </si>
  <si>
    <t>clk_sensor 54MHz</t>
  </si>
  <si>
    <t xml:space="preserve">IF((TriggerMode=1)*(ExposureMode="TriggerWidth"),readout_period_time+IF(ROUNDUP((1000*TriggerWidthLength/tRow),0)&gt;exp_overlaptime_maxline_num,ROUNDUP((1000*TriggerWidthLength/tRow),0)-exp_overlaptime_maxline_num,0),"null") </t>
  </si>
  <si>
    <t>slave_exposure_delay</t>
  </si>
  <si>
    <t>0x100_0804</t>
  </si>
  <si>
    <t>FPGA曝光延迟寄存器</t>
  </si>
  <si>
    <t xml:space="preserve">IF((TriggerMode=1)*(ExposureMode="TriggerWidth"),IF(TriggerWidthLength&gt;ExposureOverlapTimeMax,(ROUNDUP((1000*TriggerWidthLength/tRow),0)*tRow+tOFFSET)/1000,(ROUNDUP((1000*ExposureOverlapTimeMax/tRow),0)*tRow+tOFFSET)/1000),"null")  </t>
  </si>
  <si>
    <t>sonyimx_overlap_time_max</t>
  </si>
  <si>
    <t>0x100_0854</t>
  </si>
  <si>
    <t>FPGA交叠曝光最大值寄存器</t>
  </si>
  <si>
    <t>dec2hex(slave_overlap_max)</t>
  </si>
  <si>
    <t>exp_overlaptime_maxline_num</t>
  </si>
  <si>
    <t>slave_exposure_time</t>
  </si>
  <si>
    <t>0x100_0808</t>
  </si>
  <si>
    <t>FPGA曝光寄存器-time模式</t>
  </si>
  <si>
    <t xml:space="preserve">dec2hex(exp_line_num)
</t>
  </si>
  <si>
    <t>极小曝光</t>
  </si>
  <si>
    <t>slave_trigger_interval_cont</t>
  </si>
  <si>
    <t>0x100_080C</t>
  </si>
  <si>
    <t>触发间隔寄存器-连续模式</t>
  </si>
  <si>
    <t>xtrig_length+exp_delay_time+readout_time+ROUNDUP(tOFFSET/1000,0)</t>
  </si>
  <si>
    <t>slave_trigger_interval_single</t>
  </si>
  <si>
    <t>0x100_0844</t>
  </si>
  <si>
    <t>单帧模式下触发间隔寄存器</t>
  </si>
  <si>
    <t>标准曝光模式</t>
  </si>
  <si>
    <t>slave_trigger_interval_trig</t>
  </si>
  <si>
    <t>0x100_0848</t>
  </si>
  <si>
    <t>触发间隔寄存器-触发模式</t>
  </si>
  <si>
    <t>sensor Skipping</t>
  </si>
  <si>
    <t>IF(ExposureTime&gt;exp_overlap_th or Horizontal Skipping=2 or Vertical Skipping=2,xtrig_length+exp_delay_line_num+ExpIntMin,xtrig_length+exp_delay_line_num+readout_period_time+2)</t>
  </si>
  <si>
    <t>sonyimx_exposure_mode</t>
  </si>
  <si>
    <t>0x100_0850</t>
  </si>
  <si>
    <t>曝光模式寄存器</t>
  </si>
  <si>
    <t>0x110_0010</t>
  </si>
  <si>
    <t>水平行消隐寄存器</t>
  </si>
  <si>
    <t>DEC2HEX(hmax/Finck*freq_pix_clk-Width_min/phy num/phy ch num)</t>
  </si>
  <si>
    <t>FPGA binning</t>
  </si>
  <si>
    <t>DDR后端带宽</t>
  </si>
  <si>
    <t>slave_exposure_time_us</t>
  </si>
  <si>
    <t>0x100_07f0</t>
  </si>
  <si>
    <t>FPGA曝光寄存器-time模式，单位us</t>
  </si>
  <si>
    <t>dec2hex(xtrig_length_us)</t>
  </si>
  <si>
    <t>542 ExpIntMin 计算器</t>
  </si>
  <si>
    <t>542tTGES计算器</t>
  </si>
  <si>
    <t xml:space="preserve">GMRWT </t>
  </si>
  <si>
    <t>GMTWT</t>
  </si>
  <si>
    <t>GSDLY</t>
  </si>
  <si>
    <t>tTGES</t>
  </si>
  <si>
    <t>all 彩色 8 bit</t>
  </si>
  <si>
    <t>all 彩色10 bit</t>
  </si>
  <si>
    <t>all 彩色 12 bit</t>
  </si>
  <si>
    <t>all 黑白 8 bit</t>
  </si>
  <si>
    <t>all 黑白 10 bit</t>
  </si>
  <si>
    <t>all 黑白 12 bit</t>
  </si>
  <si>
    <t>skipping 彩色 8 bit</t>
  </si>
  <si>
    <t>skipping 彩色10 bit</t>
  </si>
  <si>
    <t>skipping 彩色 12 bit</t>
  </si>
  <si>
    <t>skipping 黑白 8 bit</t>
  </si>
  <si>
    <t>skipping 黑白10 bit</t>
  </si>
  <si>
    <t>skipping 黑白 12 bit</t>
  </si>
  <si>
    <t>max</t>
  </si>
  <si>
    <t>PixelFormat(8/10/12)</t>
  </si>
  <si>
    <t>AD12_GC8</t>
  </si>
  <si>
    <t>burst-帧存参数计算</t>
  </si>
  <si>
    <t>DDR3_capacity</t>
  </si>
  <si>
    <t>DDR3芯片的容量</t>
  </si>
  <si>
    <t>Gb</t>
  </si>
  <si>
    <t>sensor binning</t>
  </si>
  <si>
    <t>frame_space</t>
  </si>
  <si>
    <t>一帧图像的储存空间，1024的整数倍</t>
  </si>
  <si>
    <t>frame_depth</t>
  </si>
  <si>
    <t>帧存的最大深度</t>
  </si>
  <si>
    <t>add MARS-2020-42GTX</t>
    <phoneticPr fontId="36" type="noConversion"/>
  </si>
  <si>
    <t>1.0.7</t>
    <phoneticPr fontId="36" type="noConversion"/>
  </si>
  <si>
    <t>Update MARS-2020-42GTX</t>
    <phoneticPr fontId="36" type="noConversion"/>
  </si>
  <si>
    <t>Polarfire</t>
  </si>
  <si>
    <t>IF(ExposureTimeMode="Ultra Short",ROUNDUP((pic_height+11+tTGDLY)*tRow/1000,0),pic_height+11+tTGDLY)</t>
    <phoneticPr fontId="36" type="noConversion"/>
  </si>
  <si>
    <t>参数</t>
    <phoneticPr fontId="36" type="noConversion"/>
  </si>
  <si>
    <t>推算值
dec</t>
    <phoneticPr fontId="36" type="noConversion"/>
  </si>
  <si>
    <t>触发延迟</t>
    <phoneticPr fontId="36" type="noConversion"/>
  </si>
  <si>
    <t>TriggerDelay</t>
    <phoneticPr fontId="36" type="noConversion"/>
  </si>
  <si>
    <t>frame_freq*image_size</t>
    <phoneticPr fontId="36" type="noConversion"/>
  </si>
  <si>
    <t>Transport total value</t>
    <phoneticPr fontId="36" type="noConversion"/>
  </si>
  <si>
    <t>eth_header</t>
    <phoneticPr fontId="36" type="noConversion"/>
  </si>
  <si>
    <t>水平偏移</t>
    <phoneticPr fontId="36" type="noConversion"/>
  </si>
  <si>
    <t xml:space="preserve">trigger_interval_single </t>
  </si>
  <si>
    <t>正常包包长寄存器,仅payload部分，不包括ip、udp、gvsp头</t>
    <phoneticPr fontId="36" type="noConversion"/>
  </si>
  <si>
    <t>AcquisitionFrameRate</t>
    <phoneticPr fontId="36" type="noConversion"/>
  </si>
  <si>
    <t>complete_packet_num</t>
    <phoneticPr fontId="36" type="noConversion"/>
  </si>
  <si>
    <t>残包大小最少要是64byte
if(incomplete_packet_size&lt;data_size_min,data_size_min,incomplete_packet_size)</t>
    <phoneticPr fontId="36" type="noConversion"/>
  </si>
  <si>
    <t>sensor_width</t>
    <phoneticPr fontId="36" type="noConversion"/>
  </si>
  <si>
    <t>sensor实际输出的图像宽度寄存器（skip由sensor实现）</t>
    <phoneticPr fontId="36" type="noConversion"/>
  </si>
  <si>
    <t>0x11100874</t>
    <phoneticPr fontId="36" type="noConversion"/>
  </si>
  <si>
    <t>dec2hex(sensor_width_max)</t>
    <phoneticPr fontId="36" type="noConversion"/>
  </si>
  <si>
    <t>IMX992 skip前固定输出2592列，skip后固定输出1296列</t>
    <phoneticPr fontId="36" type="noConversion"/>
  </si>
  <si>
    <t>sensor skipping</t>
    <phoneticPr fontId="36" type="noConversion"/>
  </si>
  <si>
    <t>leader_packet_size</t>
    <phoneticPr fontId="36" type="noConversion"/>
  </si>
  <si>
    <t>以太网传输leader包的大小（包含全部协议开销）</t>
    <phoneticPr fontId="36" type="noConversion"/>
  </si>
  <si>
    <t>eth_protocol_byte+header_in_payload+leader_size</t>
    <phoneticPr fontId="36" type="noConversion"/>
  </si>
  <si>
    <t>0x11500288</t>
    <phoneticPr fontId="36" type="noConversion"/>
  </si>
  <si>
    <t>水平Skipping（sensor）</t>
    <phoneticPr fontId="36" type="noConversion"/>
  </si>
  <si>
    <t>eth_protocol_byte+header_in_payload+trailer_size</t>
    <phoneticPr fontId="36" type="noConversion"/>
  </si>
  <si>
    <t>垂直Skipping（sensor）</t>
    <phoneticPr fontId="36" type="noConversion"/>
  </si>
  <si>
    <t>Vertical Skipping（sensor）</t>
    <phoneticPr fontId="36" type="noConversion"/>
  </si>
  <si>
    <t>frame_packet_size</t>
    <phoneticPr fontId="36" type="noConversion"/>
  </si>
  <si>
    <t>以太网传输image和chunk的大小（包含全部协议开销）</t>
    <phoneticPr fontId="36" type="noConversion"/>
  </si>
  <si>
    <t>complete_packet_num*(GevSCPSPacketSize+eth_protocol_byte)+incomplete_packet_num*(incomplete_packet_size_min+eth_protocol_byte+header_in_payload)</t>
    <phoneticPr fontId="36" type="noConversion"/>
  </si>
  <si>
    <t>计算结果：</t>
    <phoneticPr fontId="37" type="noConversion"/>
  </si>
  <si>
    <t>all_packet_gap</t>
    <phoneticPr fontId="36" type="noConversion"/>
  </si>
  <si>
    <t>所有的帧间隔
（前导码和CRC校验已经在计算开销II时加过一次，这里只对最小帧间隔进行计算）</t>
    <phoneticPr fontId="36" type="noConversion"/>
  </si>
  <si>
    <t>帧率</t>
    <phoneticPr fontId="37" type="noConversion"/>
  </si>
  <si>
    <t>F</t>
    <phoneticPr fontId="37" type="noConversion"/>
  </si>
  <si>
    <t>传输图像尺寸（包含全部协议开销与包间隔）</t>
    <phoneticPr fontId="36" type="noConversion"/>
  </si>
  <si>
    <t>leader_packet_size+trailer_packet_size+frame_packet_size+all_packet_gap</t>
    <phoneticPr fontId="36" type="noConversion"/>
  </si>
  <si>
    <t>eth_valid_bandwidth</t>
    <phoneticPr fontId="36" type="noConversion"/>
  </si>
  <si>
    <t>以太网有效传输带宽</t>
    <phoneticPr fontId="36" type="noConversion"/>
  </si>
  <si>
    <t>int(link_speed*(100-BandwidthReserve)*10/100/8)</t>
    <phoneticPr fontId="36" type="noConversion"/>
  </si>
  <si>
    <t>像素位深（8/10/12）</t>
    <phoneticPr fontId="36" type="noConversion"/>
  </si>
  <si>
    <r>
      <t xml:space="preserve">有效像素边界(手册Pixel Arrangement章节，图示)
</t>
    </r>
    <r>
      <rPr>
        <sz val="11"/>
        <color rgb="FFFF0000"/>
        <rFont val="微软雅黑"/>
        <family val="2"/>
        <charset val="134"/>
      </rPr>
      <t>实际预研结果，sensor skip不需要修改垂直高度和偏移（TBD）</t>
    </r>
    <phoneticPr fontId="36" type="noConversion"/>
  </si>
  <si>
    <t>inck</t>
    <phoneticPr fontId="36" type="noConversion"/>
  </si>
  <si>
    <t>fps_limit_period_time</t>
    <phoneticPr fontId="36" type="noConversion"/>
  </si>
  <si>
    <t>帧率限制帧周期</t>
    <phoneticPr fontId="36" type="noConversion"/>
  </si>
  <si>
    <t>IF(ExposureTimeMode="Ultra Short",ROUNDUP(((100000/AcquisitionFrameRate))*AcquisitionFrameRateMode,0),ROUNDUP(((100000000/AcquisitionFrameRate)/tRow)*AcquisitionFrameRateMode,0))</t>
    <phoneticPr fontId="36" type="noConversion"/>
  </si>
  <si>
    <t>sensor串行差分时钟的数量</t>
    <phoneticPr fontId="36" type="noConversion"/>
  </si>
  <si>
    <t>10g_bandwidth_limit_period_time</t>
    <phoneticPr fontId="36" type="noConversion"/>
  </si>
  <si>
    <t>clk_pix</t>
    <phoneticPr fontId="36" type="noConversion"/>
  </si>
  <si>
    <t>pix时钟</t>
    <phoneticPr fontId="36" type="noConversion"/>
  </si>
  <si>
    <t>trig_to_strobe</t>
    <phoneticPr fontId="36" type="noConversion"/>
  </si>
  <si>
    <t>从触发到闪光灯的时间</t>
    <phoneticPr fontId="36" type="noConversion"/>
  </si>
  <si>
    <t>strobe_time</t>
    <phoneticPr fontId="36" type="noConversion"/>
  </si>
  <si>
    <t>1.0.8</t>
    <phoneticPr fontId="36" type="noConversion"/>
  </si>
  <si>
    <t>add MARS-321-176GTM-TN-SWIR and MARS-533-134GTM-TN-SWIR</t>
    <phoneticPr fontId="36" type="noConversion"/>
  </si>
  <si>
    <t>IF(ExposureTimeMode="Ultra Short",ROUNDUP(frame_size/eth_valid_bandwidth*10,0),ROUNDUP(1000*frame_size/eth_valid_bandwidth*10/tRow))</t>
    <phoneticPr fontId="36" type="noConversion"/>
  </si>
  <si>
    <t>最小后端传输限制的帧周期，预留带宽为0，针对突发采集模式高速模式使用。</t>
    <phoneticPr fontId="36" type="noConversion"/>
  </si>
  <si>
    <t>backend_limit_period_time_min</t>
    <phoneticPr fontId="36" type="noConversion"/>
  </si>
  <si>
    <t>byte/10s</t>
    <phoneticPr fontId="36" type="noConversion"/>
  </si>
  <si>
    <t>int(link_speed*(100)*10/100/8)</t>
    <phoneticPr fontId="36" type="noConversion"/>
  </si>
  <si>
    <t>最大以太网有效传输带宽，预留带宽为0，针对突发采集模式高速模式使用。</t>
    <phoneticPr fontId="36" type="noConversion"/>
  </si>
  <si>
    <t>eth_valid_bandwidth_max</t>
    <phoneticPr fontId="36" type="noConversion"/>
  </si>
  <si>
    <t>后端传输限制的帧周期</t>
    <phoneticPr fontId="36" type="noConversion"/>
  </si>
  <si>
    <t>backend_limit_period_time</t>
    <phoneticPr fontId="36" type="noConversion"/>
  </si>
  <si>
    <t>以太网有效传输带宽</t>
    <phoneticPr fontId="36" type="noConversion"/>
  </si>
  <si>
    <t>eth_valid_bandwidth</t>
    <phoneticPr fontId="36" type="noConversion"/>
  </si>
  <si>
    <t>byte</t>
    <phoneticPr fontId="36" type="noConversion"/>
  </si>
  <si>
    <t>leader_packet_size+trailer_packet_size+frame_packet_size+all_packet_gap</t>
    <phoneticPr fontId="36" type="noConversion"/>
  </si>
  <si>
    <t>传输图像尺寸（包含全部协议开销与包间隔）</t>
    <phoneticPr fontId="36" type="noConversion"/>
  </si>
  <si>
    <t>frame_size</t>
    <phoneticPr fontId="36" type="noConversion"/>
  </si>
  <si>
    <t>F</t>
    <phoneticPr fontId="37" type="noConversion"/>
  </si>
  <si>
    <t>帧率</t>
    <phoneticPr fontId="37" type="noConversion"/>
  </si>
  <si>
    <t>byte</t>
    <phoneticPr fontId="36" type="noConversion"/>
  </si>
  <si>
    <t>(leader+trailer+incomplete_packet_num+complete_packet_num)*(GevSCPD,ifg_min)</t>
    <phoneticPr fontId="36" type="noConversion"/>
  </si>
  <si>
    <t>所有的帧间隔
（前导码和CRC校验已经在计算开销II时加过一次，这里只对最小帧间隔进行计算）</t>
    <phoneticPr fontId="36" type="noConversion"/>
  </si>
  <si>
    <t>all_packet_gap</t>
    <phoneticPr fontId="36" type="noConversion"/>
  </si>
  <si>
    <t>计算结果：</t>
    <phoneticPr fontId="37" type="noConversion"/>
  </si>
  <si>
    <t>complete_packet_num*(GevSCPSPacketSize+eth_protocol_byte)+incomplete_packet_num*(incomplete_packet_size_min+eth_protocol_byte+header_in_payload)</t>
    <phoneticPr fontId="36" type="noConversion"/>
  </si>
  <si>
    <t>以太网传输image和chunk的大小（包含全部协议开销）</t>
    <phoneticPr fontId="36" type="noConversion"/>
  </si>
  <si>
    <t>frame_packet_size</t>
    <phoneticPr fontId="36" type="noConversion"/>
  </si>
  <si>
    <t>-</t>
    <phoneticPr fontId="37" type="noConversion"/>
  </si>
  <si>
    <t>Vertical Skipping（sensor）</t>
    <phoneticPr fontId="36" type="noConversion"/>
  </si>
  <si>
    <t>垂直Skipping（sensor）</t>
    <phoneticPr fontId="36" type="noConversion"/>
  </si>
  <si>
    <t>eth_protocol_byte+header_in_payload+trailer_size</t>
    <phoneticPr fontId="36" type="noConversion"/>
  </si>
  <si>
    <t>以太网传输trailer包的大小（包含全部协议开销）</t>
    <phoneticPr fontId="36" type="noConversion"/>
  </si>
  <si>
    <t>trailer_packet_size</t>
    <phoneticPr fontId="36" type="noConversion"/>
  </si>
  <si>
    <t>可以分开设置</t>
    <phoneticPr fontId="36" type="noConversion"/>
  </si>
  <si>
    <t>-</t>
    <phoneticPr fontId="37" type="noConversion"/>
  </si>
  <si>
    <t>Horizontal Skipping（sensor）</t>
    <phoneticPr fontId="37" type="noConversion"/>
  </si>
  <si>
    <t>水平Skipping（sensor）</t>
    <phoneticPr fontId="36" type="noConversion"/>
  </si>
  <si>
    <t>高帧率burst模式寄存器
0:高帧率burst模式关闭，为标准模式，burst中间帧帧周期为连续模式帧周期
1:高帧率burst模式开启，为高速模式，burst中间帧帧周期为触发模式帧周期</t>
    <phoneticPr fontId="36" type="noConversion"/>
  </si>
  <si>
    <t>dec2hex(fast_burst_mode)</t>
    <phoneticPr fontId="36" type="noConversion"/>
  </si>
  <si>
    <t>0x11500288</t>
    <phoneticPr fontId="36" type="noConversion"/>
  </si>
  <si>
    <t>高帧率burst模式寄存器</t>
    <phoneticPr fontId="36" type="noConversion"/>
  </si>
  <si>
    <t>fast_burst_mode</t>
    <phoneticPr fontId="36" type="noConversion"/>
  </si>
  <si>
    <t>byte</t>
    <phoneticPr fontId="36" type="noConversion"/>
  </si>
  <si>
    <t>eth_protocol_byte+header_in_payload+leader_size</t>
    <phoneticPr fontId="36" type="noConversion"/>
  </si>
  <si>
    <t>以太网传输leader包的大小（包含全部协议开销）</t>
    <phoneticPr fontId="36" type="noConversion"/>
  </si>
  <si>
    <t>leader_packet_size</t>
    <phoneticPr fontId="36" type="noConversion"/>
  </si>
  <si>
    <t>sensor skipping</t>
    <phoneticPr fontId="36" type="noConversion"/>
  </si>
  <si>
    <t>IMX992 skip前固定输出2592列，skip后固定输出1296列</t>
    <phoneticPr fontId="36" type="noConversion"/>
  </si>
  <si>
    <t>dec2hex(sensor_width_max)</t>
    <phoneticPr fontId="36" type="noConversion"/>
  </si>
  <si>
    <t>0x11100874</t>
    <phoneticPr fontId="36" type="noConversion"/>
  </si>
  <si>
    <t>sensor实际输出的图像宽度寄存器（skip由sensor实现）</t>
    <phoneticPr fontId="36" type="noConversion"/>
  </si>
  <si>
    <t>sensor_width</t>
    <phoneticPr fontId="36" type="noConversion"/>
  </si>
  <si>
    <t>残包大小最少要是64byte
if(incomplete_packet_size&lt;data_size_min,data_size_min,incomplete_packet_size)</t>
    <phoneticPr fontId="36" type="noConversion"/>
  </si>
  <si>
    <t>经过最小包长判断之后的残包大小（净长）</t>
    <phoneticPr fontId="36" type="noConversion"/>
  </si>
  <si>
    <t>incomplete_packet_size_min</t>
    <phoneticPr fontId="36" type="noConversion"/>
  </si>
  <si>
    <t>Vertical Binning</t>
    <phoneticPr fontId="36" type="noConversion"/>
  </si>
  <si>
    <t>垂直Binning</t>
    <phoneticPr fontId="36" type="noConversion"/>
  </si>
  <si>
    <t>PGI功能需要使用的行消隐寄存器，行消隐固定为最大宽度时的值，当Vbmin较小时也适用</t>
    <phoneticPr fontId="36" type="noConversion"/>
  </si>
  <si>
    <t>DEC2HEX((tRow-Width/isp_ch_num*1000000/clk_pix))/(1000000/clk_pix))</t>
    <phoneticPr fontId="36" type="noConversion"/>
  </si>
  <si>
    <t>0x11100010</t>
    <phoneticPr fontId="36" type="noConversion"/>
  </si>
  <si>
    <t>水平行消隐，单位是clk_pix</t>
    <phoneticPr fontId="36" type="noConversion"/>
  </si>
  <si>
    <t>roi_line_hide</t>
    <phoneticPr fontId="36" type="noConversion"/>
  </si>
  <si>
    <t>个</t>
    <phoneticPr fontId="36" type="noConversion"/>
  </si>
  <si>
    <t>if(incomplete_packet_size==0,0,1)</t>
    <phoneticPr fontId="36" type="noConversion"/>
  </si>
  <si>
    <t>残包个数</t>
    <phoneticPr fontId="36" type="noConversion"/>
  </si>
  <si>
    <t>incomplete_packet_num</t>
    <phoneticPr fontId="36" type="noConversion"/>
  </si>
  <si>
    <t>Horizontal Binning</t>
    <phoneticPr fontId="37" type="noConversion"/>
  </si>
  <si>
    <t>水平Binning</t>
    <phoneticPr fontId="36" type="noConversion"/>
  </si>
  <si>
    <t>0x11400084</t>
    <phoneticPr fontId="36" type="noConversion"/>
  </si>
  <si>
    <t>image_chunk_size-(GevSCPSPacketSize-header_in_payload)*complete_packet_num</t>
    <phoneticPr fontId="36" type="noConversion"/>
  </si>
  <si>
    <t>残包大小（净长）</t>
    <phoneticPr fontId="36" type="noConversion"/>
  </si>
  <si>
    <t>incomplete_packet_size</t>
    <phoneticPr fontId="36" type="noConversion"/>
  </si>
  <si>
    <t>FPGA Binning/Skipping</t>
    <phoneticPr fontId="36" type="noConversion"/>
  </si>
  <si>
    <t>0x11400080</t>
    <phoneticPr fontId="36" type="noConversion"/>
  </si>
  <si>
    <t>个</t>
    <phoneticPr fontId="36" type="noConversion"/>
  </si>
  <si>
    <t>int(image_chunk_size/(GevSCPSPacketSize-header_in_payload))</t>
    <phoneticPr fontId="36" type="noConversion"/>
  </si>
  <si>
    <t>完整包个数</t>
    <phoneticPr fontId="36" type="noConversion"/>
  </si>
  <si>
    <t>complete_packet_num</t>
    <phoneticPr fontId="36" type="noConversion"/>
  </si>
  <si>
    <t>fps</t>
    <phoneticPr fontId="36" type="noConversion"/>
  </si>
  <si>
    <t>AcquisitionFrameRate</t>
    <phoneticPr fontId="36" type="noConversion"/>
  </si>
  <si>
    <t>帧率控制</t>
    <phoneticPr fontId="36" type="noConversion"/>
  </si>
  <si>
    <t>上层修改包长之后，固件需要设置该寄存器给FPGA，只能停采期间设置</t>
    <phoneticPr fontId="37" type="noConversion"/>
  </si>
  <si>
    <t>dec2hex(GevSCPSPacketSize-header_in_payload)</t>
    <phoneticPr fontId="36" type="noConversion"/>
  </si>
  <si>
    <t>0x11200100</t>
    <phoneticPr fontId="36" type="noConversion"/>
  </si>
  <si>
    <t>正常包包长寄存器,仅payload部分，不包括ip、udp、gvsp头</t>
    <phoneticPr fontId="36" type="noConversion"/>
  </si>
  <si>
    <t>packet_length</t>
    <phoneticPr fontId="36" type="noConversion"/>
  </si>
  <si>
    <t>image_size+32*chunk_mode_active</t>
    <phoneticPr fontId="36" type="noConversion"/>
  </si>
  <si>
    <t>图像+chunk大小（净长）</t>
    <phoneticPr fontId="36" type="noConversion"/>
  </si>
  <si>
    <t>image_chunk_size</t>
    <phoneticPr fontId="36" type="noConversion"/>
  </si>
  <si>
    <t>-</t>
    <phoneticPr fontId="36" type="noConversion"/>
  </si>
  <si>
    <t>AcquisitionFrameRateMode</t>
    <phoneticPr fontId="36" type="noConversion"/>
  </si>
  <si>
    <t>采集帧率调节模式(0/1)</t>
    <phoneticPr fontId="36" type="noConversion"/>
  </si>
  <si>
    <t>读出时间寄存器，由于只在停采期间会发生改变，因此不用作生效时机控制</t>
    <phoneticPr fontId="36" type="noConversion"/>
  </si>
  <si>
    <t>dec2hex(readout_period_time)</t>
    <phoneticPr fontId="36" type="noConversion"/>
  </si>
  <si>
    <t>0x1100084c</t>
    <phoneticPr fontId="36" type="noConversion"/>
  </si>
  <si>
    <t>sensor读出时间</t>
    <phoneticPr fontId="36" type="noConversion"/>
  </si>
  <si>
    <t>readout_time</t>
    <phoneticPr fontId="36" type="noConversion"/>
  </si>
  <si>
    <t>Height*Width*n，if pixel format = 8bit，n=1; else if pixel format = 10/12bit,  n=2;  else if pixel format = 10p/12p,  n=1.5;(gige vision 2.0 packed)</t>
    <phoneticPr fontId="37" type="noConversion"/>
  </si>
  <si>
    <t>传输图像大小（净长）</t>
    <phoneticPr fontId="36" type="noConversion"/>
  </si>
  <si>
    <t>image_size</t>
    <phoneticPr fontId="36" type="noConversion"/>
  </si>
  <si>
    <t>帧率控制</t>
    <phoneticPr fontId="36" type="noConversion"/>
  </si>
  <si>
    <t xml:space="preserve">1、只有当sensor从其他曝光时间切换至Ultra Short模式的14us及以下时，先将该寄存器置0，然后查询完整帧标志，完整帧标志无效后，设置sensor的Ultra Short相关寄存器为对应曝光值，之后将该寄存器置1，完成曝光时间的设置
2、当sensor工作在其他曝光时间时，无论是Ultra Short模式的15-100us，还是工作在standard模式，该寄存器需要保持为1
</t>
    <phoneticPr fontId="36" type="noConversion"/>
  </si>
  <si>
    <t>IF(ExposureMode="Ultra Short",0,1)</t>
    <phoneticPr fontId="36" type="noConversion"/>
  </si>
  <si>
    <t>0x110007fc</t>
    <phoneticPr fontId="36" type="noConversion"/>
  </si>
  <si>
    <t>曝光使能信号，控制sensor工作在Ultra Short模式的时候是否可以开始曝光
0-可以曝光
1-不能曝光</t>
    <phoneticPr fontId="36" type="noConversion"/>
  </si>
  <si>
    <t>exp_enable</t>
    <phoneticPr fontId="36" type="noConversion"/>
  </si>
  <si>
    <t>大恒专用帧信息，48byte</t>
    <phoneticPr fontId="36" type="noConversion"/>
  </si>
  <si>
    <t>chunk大小</t>
    <phoneticPr fontId="36" type="noConversion"/>
  </si>
  <si>
    <t>chunk_size</t>
    <phoneticPr fontId="36" type="noConversion"/>
  </si>
  <si>
    <t>sonyimx系列sensor工作模式寄存器，只能在停采期间设置</t>
    <phoneticPr fontId="36" type="noConversion"/>
  </si>
  <si>
    <t>0x110007f8</t>
    <phoneticPr fontId="36" type="noConversion"/>
  </si>
  <si>
    <t>sonyimx系列sensor工作模式
0-master模式
1-slave模式</t>
    <phoneticPr fontId="36" type="noConversion"/>
  </si>
  <si>
    <t>sonyimx_sensor_mode</t>
    <phoneticPr fontId="36" type="noConversion"/>
  </si>
  <si>
    <t>实际上trailer大小是8byte，为了和64byte的以太网包对齐，此处写为10byte</t>
    <phoneticPr fontId="36" type="noConversion"/>
  </si>
  <si>
    <t>trailer长度（净长）</t>
    <phoneticPr fontId="36" type="noConversion"/>
  </si>
  <si>
    <t>trailer_size</t>
    <phoneticPr fontId="36" type="noConversion"/>
  </si>
  <si>
    <t>us</t>
    <phoneticPr fontId="36" type="noConversion"/>
  </si>
  <si>
    <t xml:space="preserve">IF((TriggerMode=1)*(ExposureMode="TriggerWidth"),IF(TriggerWidthLength&gt;ExposureOverlapTimeMax,(ROUNDUP((1000*TriggerWidthLength/tRow),0)*tRow+tOFFSET)/1000,(ROUNDUP((1000*ExposureOverlapTimeMax/tRow),0)*tRow+tOFFSET)/1000),"null")        </t>
    <phoneticPr fontId="36" type="noConversion"/>
  </si>
  <si>
    <t>TriggerWidth模式下实际曝光时间</t>
    <phoneticPr fontId="36" type="noConversion"/>
  </si>
  <si>
    <t>exp_time_triggerwidth</t>
    <phoneticPr fontId="36" type="noConversion"/>
  </si>
  <si>
    <t>ns</t>
    <phoneticPr fontId="36" type="noConversion"/>
  </si>
  <si>
    <t>0x1</t>
    <phoneticPr fontId="36" type="noConversion"/>
  </si>
  <si>
    <t>1:成组生效寄存器设置完成</t>
    <phoneticPr fontId="36" type="noConversion"/>
  </si>
  <si>
    <t>0x11100000</t>
    <phoneticPr fontId="36" type="noConversion"/>
  </si>
  <si>
    <t>寄存器成组生效标志，自清零</t>
    <phoneticPr fontId="36" type="noConversion"/>
  </si>
  <si>
    <t>param_cfg_done</t>
    <phoneticPr fontId="36" type="noConversion"/>
  </si>
  <si>
    <t>chunk off:36
chunk on:12</t>
    <phoneticPr fontId="36" type="noConversion"/>
  </si>
  <si>
    <t>leader长度（净长）</t>
    <phoneticPr fontId="36" type="noConversion"/>
  </si>
  <si>
    <t>leader_size</t>
    <phoneticPr fontId="36" type="noConversion"/>
  </si>
  <si>
    <t>line</t>
    <phoneticPr fontId="36" type="noConversion"/>
  </si>
  <si>
    <t xml:space="preserve">IF((TriggerMode=1)*(ExposureMode="TriggerWidth"),readout_period_time+IF(ROUNDUP((1000*TriggerWidthLength/tRow),0)&gt;exp_overlaptime_maxline_num,ROUNDUP((1000*TriggerWidthLength/tRow),0)-exp_overlaptime_maxline_num,0),"null")    </t>
    <phoneticPr fontId="36" type="noConversion"/>
  </si>
  <si>
    <t>exp_period_triggerwidth</t>
    <phoneticPr fontId="36" type="noConversion"/>
  </si>
  <si>
    <t>流通道包长(指的是以太网的负载包长 范围:512-8192)该数值不包含以太网协议开销</t>
    <phoneticPr fontId="36" type="noConversion"/>
  </si>
  <si>
    <t>dec2hex(FramePeriod)</t>
    <phoneticPr fontId="36" type="noConversion"/>
  </si>
  <si>
    <t>0x11000844</t>
    <phoneticPr fontId="36" type="noConversion"/>
  </si>
  <si>
    <t>触发间隔寄存器-单帧采集模式</t>
    <phoneticPr fontId="36" type="noConversion"/>
  </si>
  <si>
    <t>单位</t>
    <phoneticPr fontId="36" type="noConversion"/>
  </si>
  <si>
    <t>推算值
dec</t>
    <phoneticPr fontId="36" type="noConversion"/>
  </si>
  <si>
    <t>公式</t>
    <phoneticPr fontId="36" type="noConversion"/>
  </si>
  <si>
    <t>描述</t>
    <phoneticPr fontId="36" type="noConversion"/>
  </si>
  <si>
    <t>参数</t>
    <phoneticPr fontId="36" type="noConversion"/>
  </si>
  <si>
    <t>line</t>
    <phoneticPr fontId="36" type="noConversion"/>
  </si>
  <si>
    <t>MAX(INT(ExposureOverlapTimeMax*1000/tRow),1)</t>
    <phoneticPr fontId="36" type="noConversion"/>
  </si>
  <si>
    <t>交叠曝光对应的行数</t>
    <phoneticPr fontId="36" type="noConversion"/>
  </si>
  <si>
    <t>exp_overlaptime_maxline_num</t>
    <phoneticPr fontId="36" type="noConversion"/>
  </si>
  <si>
    <t>Mbit/s</t>
    <phoneticPr fontId="36" type="noConversion"/>
  </si>
  <si>
    <t>网络连接速度</t>
    <phoneticPr fontId="36" type="noConversion"/>
  </si>
  <si>
    <t>dec2hex(FramePeriod)</t>
    <phoneticPr fontId="36" type="noConversion"/>
  </si>
  <si>
    <t>0x11000848</t>
    <phoneticPr fontId="36" type="noConversion"/>
  </si>
  <si>
    <t>触发间隔寄存器-触发模式</t>
    <phoneticPr fontId="36" type="noConversion"/>
  </si>
  <si>
    <t>trigger_interval_trig</t>
    <phoneticPr fontId="36" type="noConversion"/>
  </si>
  <si>
    <t>帧周期参数-GIGE</t>
    <phoneticPr fontId="36" type="noConversion"/>
  </si>
  <si>
    <t>TriggerWidth模式</t>
    <phoneticPr fontId="36" type="noConversion"/>
  </si>
  <si>
    <t>0x1100080c</t>
    <phoneticPr fontId="36" type="noConversion"/>
  </si>
  <si>
    <t>触发间隔寄存器-连续模式</t>
    <phoneticPr fontId="36" type="noConversion"/>
  </si>
  <si>
    <t>trigger_interval_cont</t>
    <phoneticPr fontId="36" type="noConversion"/>
  </si>
  <si>
    <t>byte</t>
    <phoneticPr fontId="36" type="noConversion"/>
  </si>
  <si>
    <t>64-eth_header-fcs-header_in_payload</t>
    <phoneticPr fontId="36" type="noConversion"/>
  </si>
  <si>
    <t>数据包长最小值</t>
    <phoneticPr fontId="36" type="noConversion"/>
  </si>
  <si>
    <t>data_size_min</t>
    <phoneticPr fontId="36" type="noConversion"/>
  </si>
  <si>
    <t>%</t>
    <phoneticPr fontId="36" type="noConversion"/>
  </si>
  <si>
    <t>IF((100-ROUNDDOWN(10*frame_size/(125000*GevLinkSpeed),0)-1)&lt;0,0,(100-ROUNDDOWN(10*frame_size/(125000*GevLinkSpeed),0)-1))    GevLinkSpeed=10000</t>
    <phoneticPr fontId="36" type="noConversion"/>
  </si>
  <si>
    <t>最大预留带宽</t>
    <phoneticPr fontId="36" type="noConversion"/>
  </si>
  <si>
    <t>Max BandwidthReserve</t>
    <phoneticPr fontId="36" type="noConversion"/>
  </si>
  <si>
    <t>序列配置模式使能</t>
    <phoneticPr fontId="36" type="noConversion"/>
  </si>
  <si>
    <t>sequencer_configration_mode</t>
    <phoneticPr fontId="36" type="noConversion"/>
  </si>
  <si>
    <t>dec2hex(exp_overlaptime_maxline_num)</t>
    <phoneticPr fontId="36" type="noConversion"/>
  </si>
  <si>
    <t>0x11000854</t>
    <phoneticPr fontId="36" type="noConversion"/>
  </si>
  <si>
    <t>电平控制曝光模式下，预期交叠曝光时间控制寄存器，以行为单位</t>
    <phoneticPr fontId="36" type="noConversion"/>
  </si>
  <si>
    <t>sonyimx_overlap_time_max</t>
    <phoneticPr fontId="36" type="noConversion"/>
  </si>
  <si>
    <t>preamble+sfd+eth_header+fcs</t>
    <phoneticPr fontId="36" type="noConversion"/>
  </si>
  <si>
    <t>协议开销总和II:以太网协议开销</t>
    <phoneticPr fontId="36" type="noConversion"/>
  </si>
  <si>
    <t>eth_protocol_byte</t>
    <phoneticPr fontId="36" type="noConversion"/>
  </si>
  <si>
    <t>最大预留带宽</t>
    <phoneticPr fontId="36" type="noConversion"/>
  </si>
  <si>
    <t>写带宽/Mbps</t>
    <phoneticPr fontId="36" type="noConversion"/>
  </si>
  <si>
    <t>payload/byte</t>
    <phoneticPr fontId="36" type="noConversion"/>
  </si>
  <si>
    <t>IF(ExposureMode="TriggerWidth",1,0)</t>
    <phoneticPr fontId="36" type="noConversion"/>
  </si>
  <si>
    <t>0x11000850</t>
    <phoneticPr fontId="36" type="noConversion"/>
  </si>
  <si>
    <t xml:space="preserve">曝光模式控制寄存器
0:timed
1:trigger width
2:trigger </t>
    <phoneticPr fontId="36" type="noConversion"/>
  </si>
  <si>
    <t>sonyimx_exposure_mode</t>
    <phoneticPr fontId="36" type="noConversion"/>
  </si>
  <si>
    <t>ip_header+udp_header+gigev_header</t>
    <phoneticPr fontId="36" type="noConversion"/>
  </si>
  <si>
    <t>协议开销总和I:以太网负载部分的协议开销</t>
    <phoneticPr fontId="36" type="noConversion"/>
  </si>
  <si>
    <t>header_in_payload</t>
    <phoneticPr fontId="36" type="noConversion"/>
  </si>
  <si>
    <t>IF(ROUNDUP(max_gevscpd_byte_num*1000*8/GevLinkSpeed,0)&gt;200000000,200000000,ROUNDUP(max_gevscpd_byte_num*1000*8/GevLinkSpeed,0))</t>
    <phoneticPr fontId="36" type="noConversion"/>
  </si>
  <si>
    <t>最大包间隔时间</t>
    <phoneticPr fontId="36" type="noConversion"/>
  </si>
  <si>
    <t>Max gevSCPD</t>
    <phoneticPr fontId="36" type="noConversion"/>
  </si>
  <si>
    <t>-</t>
    <phoneticPr fontId="36" type="noConversion"/>
  </si>
  <si>
    <t>ChunkModeActive</t>
    <phoneticPr fontId="36" type="noConversion"/>
  </si>
  <si>
    <t>帧信息使能</t>
    <phoneticPr fontId="36" type="noConversion"/>
  </si>
  <si>
    <t>dec2hex(exp_line_num)</t>
    <phoneticPr fontId="36" type="noConversion"/>
  </si>
  <si>
    <t>0x11000808</t>
    <phoneticPr fontId="36" type="noConversion"/>
  </si>
  <si>
    <t>FPGA曝光寄存器</t>
    <phoneticPr fontId="36" type="noConversion"/>
  </si>
  <si>
    <t>exp_time</t>
    <phoneticPr fontId="36" type="noConversion"/>
  </si>
  <si>
    <t>固定为12byte</t>
    <phoneticPr fontId="36" type="noConversion"/>
  </si>
  <si>
    <t>最小帧间隔</t>
    <phoneticPr fontId="36" type="noConversion"/>
  </si>
  <si>
    <t>ifg_min</t>
    <phoneticPr fontId="36" type="noConversion"/>
  </si>
  <si>
    <t>最大包间隔</t>
    <phoneticPr fontId="36" type="noConversion"/>
  </si>
  <si>
    <t>chunk</t>
    <phoneticPr fontId="36" type="noConversion"/>
  </si>
  <si>
    <t>isp</t>
    <phoneticPr fontId="36" type="noConversion"/>
  </si>
  <si>
    <t>dec2hex(ExpDelayLine)</t>
    <phoneticPr fontId="36" type="noConversion"/>
  </si>
  <si>
    <t>0x11000804</t>
    <phoneticPr fontId="36" type="noConversion"/>
  </si>
  <si>
    <t>FPGA曝光延迟寄存器</t>
    <phoneticPr fontId="36" type="noConversion"/>
  </si>
  <si>
    <t>exp_delay</t>
    <phoneticPr fontId="36" type="noConversion"/>
  </si>
  <si>
    <t>固定为4byte</t>
    <phoneticPr fontId="36" type="noConversion"/>
  </si>
  <si>
    <t>CRC校验</t>
    <phoneticPr fontId="36" type="noConversion"/>
  </si>
  <si>
    <t>fcs</t>
    <phoneticPr fontId="36" type="noConversion"/>
  </si>
  <si>
    <t>pixel</t>
    <phoneticPr fontId="36" type="noConversion"/>
  </si>
  <si>
    <t>Height</t>
    <phoneticPr fontId="36" type="noConversion"/>
  </si>
  <si>
    <t>图像高度</t>
    <phoneticPr fontId="36" type="noConversion"/>
  </si>
  <si>
    <t>ipif</t>
    <phoneticPr fontId="36" type="noConversion"/>
  </si>
  <si>
    <t>帧周期相关寄存器，固件重新计算帧周期之后，会将对应的寄存器重新设置给FPGA，最后再设置一次成组生效寄存器，成组生效寄存器有效之后，之前设置的寄存器才会生效</t>
    <phoneticPr fontId="37" type="noConversion"/>
  </si>
  <si>
    <t>dec2hex(hmax)</t>
    <phoneticPr fontId="36" type="noConversion"/>
  </si>
  <si>
    <t>0x11000800</t>
    <phoneticPr fontId="36" type="noConversion"/>
  </si>
  <si>
    <t>FPGA行周期</t>
    <phoneticPr fontId="36" type="noConversion"/>
  </si>
  <si>
    <t>slave_hmax</t>
    <phoneticPr fontId="36" type="noConversion"/>
  </si>
  <si>
    <t>固定为8byte</t>
    <phoneticPr fontId="36" type="noConversion"/>
  </si>
  <si>
    <t>gige vision协议头</t>
    <phoneticPr fontId="36" type="noConversion"/>
  </si>
  <si>
    <t>gigev_header</t>
    <phoneticPr fontId="36" type="noConversion"/>
  </si>
  <si>
    <t>pixel</t>
    <phoneticPr fontId="36" type="noConversion"/>
  </si>
  <si>
    <t>Width</t>
    <phoneticPr fontId="36" type="noConversion"/>
  </si>
  <si>
    <t>图像宽度</t>
    <phoneticPr fontId="36" type="noConversion"/>
  </si>
  <si>
    <t>sensor</t>
    <phoneticPr fontId="36" type="noConversion"/>
  </si>
  <si>
    <t>说明</t>
    <phoneticPr fontId="36" type="noConversion"/>
  </si>
  <si>
    <t>推算值
hex</t>
    <phoneticPr fontId="36" type="noConversion"/>
  </si>
  <si>
    <t>地址(hex)</t>
    <phoneticPr fontId="36" type="noConversion"/>
  </si>
  <si>
    <t>寄存器名</t>
    <phoneticPr fontId="36" type="noConversion"/>
  </si>
  <si>
    <t>udp协议头</t>
    <phoneticPr fontId="36" type="noConversion"/>
  </si>
  <si>
    <t>udp_header</t>
    <phoneticPr fontId="36" type="noConversion"/>
  </si>
  <si>
    <t>OffsetY</t>
    <phoneticPr fontId="36" type="noConversion"/>
  </si>
  <si>
    <t>垂直偏移</t>
    <phoneticPr fontId="36" type="noConversion"/>
  </si>
  <si>
    <t>行消隐/ns</t>
    <phoneticPr fontId="36" type="noConversion"/>
  </si>
  <si>
    <t>行消隐/clk</t>
    <phoneticPr fontId="36" type="noConversion"/>
  </si>
  <si>
    <t>行正程/ns</t>
    <phoneticPr fontId="36" type="noConversion"/>
  </si>
  <si>
    <t>行正程/clk</t>
    <phoneticPr fontId="36" type="noConversion"/>
  </si>
  <si>
    <t>行周期/ns</t>
    <phoneticPr fontId="36" type="noConversion"/>
  </si>
  <si>
    <t>行周期/clk</t>
    <phoneticPr fontId="36" type="noConversion"/>
  </si>
  <si>
    <t>最大行宽</t>
    <phoneticPr fontId="36" type="noConversion"/>
  </si>
  <si>
    <t>通道数</t>
    <phoneticPr fontId="36" type="noConversion"/>
  </si>
  <si>
    <t>时钟</t>
    <phoneticPr fontId="36" type="noConversion"/>
  </si>
  <si>
    <t>模块</t>
    <phoneticPr fontId="36" type="noConversion"/>
  </si>
  <si>
    <t>FPGA寄存器</t>
    <phoneticPr fontId="36" type="noConversion"/>
  </si>
  <si>
    <t>固定为20byte</t>
    <phoneticPr fontId="36" type="noConversion"/>
  </si>
  <si>
    <t>ip协议头</t>
    <phoneticPr fontId="36" type="noConversion"/>
  </si>
  <si>
    <t>ip_header</t>
    <phoneticPr fontId="36" type="noConversion"/>
  </si>
  <si>
    <t>Byte/s</t>
    <phoneticPr fontId="36" type="noConversion"/>
  </si>
  <si>
    <t>1250*GevLinkSpeed*(100-BandwidthReserve)</t>
    <phoneticPr fontId="36" type="noConversion"/>
  </si>
  <si>
    <t>传输理论带宽</t>
    <phoneticPr fontId="36" type="noConversion"/>
  </si>
  <si>
    <t>Transport theoretical value</t>
    <phoneticPr fontId="36" type="noConversion"/>
  </si>
  <si>
    <t>OffsetX</t>
    <phoneticPr fontId="36" type="noConversion"/>
  </si>
  <si>
    <t>水平偏移</t>
    <phoneticPr fontId="36" type="noConversion"/>
  </si>
  <si>
    <t>行消隐计算
JUP-2010G</t>
    <phoneticPr fontId="36" type="noConversion"/>
  </si>
  <si>
    <t>设置寄存器</t>
    <phoneticPr fontId="36" type="noConversion"/>
  </si>
  <si>
    <t>目的地址6byte+源地址6byte+以太网类型2byte</t>
    <phoneticPr fontId="36" type="noConversion"/>
  </si>
  <si>
    <t>以太网协议头</t>
    <phoneticPr fontId="36" type="noConversion"/>
  </si>
  <si>
    <t>eth_header</t>
    <phoneticPr fontId="36" type="noConversion"/>
  </si>
  <si>
    <t>Byte/s</t>
    <phoneticPr fontId="36" type="noConversion"/>
  </si>
  <si>
    <t>frame_freq*frame_packet_size</t>
    <phoneticPr fontId="36" type="noConversion"/>
  </si>
  <si>
    <t>传输总带宽</t>
    <phoneticPr fontId="36" type="noConversion"/>
  </si>
  <si>
    <t>Transport total value</t>
    <phoneticPr fontId="36" type="noConversion"/>
  </si>
  <si>
    <t>ROI</t>
    <phoneticPr fontId="36" type="noConversion"/>
  </si>
  <si>
    <t>固定为1byte</t>
    <phoneticPr fontId="36" type="noConversion"/>
  </si>
  <si>
    <t>起始帧分界符</t>
    <phoneticPr fontId="36" type="noConversion"/>
  </si>
  <si>
    <t>sfd</t>
    <phoneticPr fontId="36" type="noConversion"/>
  </si>
  <si>
    <t>frame_freq*image_size</t>
    <phoneticPr fontId="36" type="noConversion"/>
  </si>
  <si>
    <t>图像有效带宽</t>
    <phoneticPr fontId="36" type="noConversion"/>
  </si>
  <si>
    <t>Image effective bandwidth</t>
    <phoneticPr fontId="36" type="noConversion"/>
  </si>
  <si>
    <t>us</t>
    <phoneticPr fontId="36" type="noConversion"/>
  </si>
  <si>
    <t>TriggerDelay</t>
    <phoneticPr fontId="36" type="noConversion"/>
  </si>
  <si>
    <t>触发延迟</t>
    <phoneticPr fontId="36" type="noConversion"/>
  </si>
  <si>
    <t>固定为7byte</t>
    <phoneticPr fontId="36" type="noConversion"/>
  </si>
  <si>
    <t>前导符</t>
    <phoneticPr fontId="36" type="noConversion"/>
  </si>
  <si>
    <t>preamble</t>
    <phoneticPr fontId="36" type="noConversion"/>
  </si>
  <si>
    <t>预估带宽</t>
    <phoneticPr fontId="36" type="noConversion"/>
  </si>
  <si>
    <t>触发延时</t>
    <phoneticPr fontId="36" type="noConversion"/>
  </si>
  <si>
    <t>单位</t>
    <phoneticPr fontId="36" type="noConversion"/>
  </si>
  <si>
    <t>参数</t>
    <phoneticPr fontId="36" type="noConversion"/>
  </si>
  <si>
    <t>IF(ExposureTimeMode="Ultra Short",ROUNDUP((pic_height+11+tTGDLY)*tRow/1000,0),pic_height+11+tTGDLY)</t>
    <phoneticPr fontId="36" type="noConversion"/>
  </si>
  <si>
    <t>实际读出时间
(Sequential Trigger Mode) Operation章节，表格Parameter List of Global Shutter中的tTGDLY)</t>
    <phoneticPr fontId="36" type="noConversion"/>
  </si>
  <si>
    <t>readout_time</t>
    <phoneticPr fontId="36" type="noConversion"/>
  </si>
  <si>
    <t>AcquisitionBurstMode</t>
    <phoneticPr fontId="36" type="noConversion"/>
  </si>
  <si>
    <t>突发采集模式</t>
    <phoneticPr fontId="36" type="noConversion"/>
  </si>
  <si>
    <t>Gige Vision参数</t>
    <phoneticPr fontId="36" type="noConversion"/>
  </si>
  <si>
    <t>us</t>
    <phoneticPr fontId="36" type="noConversion"/>
  </si>
  <si>
    <t>IF(ExposureTimeMode="Ultra Short",IF((exp_time+4))&gt;100us,(exp_time+4),100us),if((exp_time+4*tRow/1000))&gt;100us,(exp_time+4*tRow/1000),100us))</t>
    <phoneticPr fontId="36" type="noConversion"/>
  </si>
  <si>
    <t>极小曝光时，闪光灯维持时间至少比曝光时间要展宽4us；普通曝光时，闪光灯维持时间至少比曝光时间要展宽4个行周期</t>
    <phoneticPr fontId="36" type="noConversion"/>
  </si>
  <si>
    <t>strobe_time</t>
    <phoneticPr fontId="36" type="noConversion"/>
  </si>
  <si>
    <t>TriggerMode</t>
    <phoneticPr fontId="36" type="noConversion"/>
  </si>
  <si>
    <t>触发模式</t>
    <phoneticPr fontId="36" type="noConversion"/>
  </si>
  <si>
    <t>KHz</t>
    <phoneticPr fontId="36" type="noConversion"/>
  </si>
  <si>
    <t>直接对应sensor映射表中的值</t>
    <phoneticPr fontId="36" type="noConversion"/>
  </si>
  <si>
    <t>pix时钟</t>
    <phoneticPr fontId="36" type="noConversion"/>
  </si>
  <si>
    <t>clk_pix</t>
    <phoneticPr fontId="36" type="noConversion"/>
  </si>
  <si>
    <t>从触发到闪光灯的时间</t>
    <phoneticPr fontId="36" type="noConversion"/>
  </si>
  <si>
    <t>trig_to_strobe</t>
    <phoneticPr fontId="36" type="noConversion"/>
  </si>
  <si>
    <t>触发模式</t>
    <phoneticPr fontId="36" type="noConversion"/>
  </si>
  <si>
    <t>ch</t>
    <phoneticPr fontId="36" type="noConversion"/>
  </si>
  <si>
    <t>直接对应sensor映射表中的值</t>
    <phoneticPr fontId="36" type="noConversion"/>
  </si>
  <si>
    <t>数据通道处理通道数</t>
    <phoneticPr fontId="36" type="noConversion"/>
  </si>
  <si>
    <t>isp_ch_num</t>
    <phoneticPr fontId="36" type="noConversion"/>
  </si>
  <si>
    <t>IF(ExposureTimeMode="Ultra Short",ExposureDelay,ROUNDUP(((1000*ExposureDelay)/tRow),0))</t>
    <phoneticPr fontId="36" type="noConversion"/>
  </si>
  <si>
    <t>曝光延迟时间</t>
    <phoneticPr fontId="36" type="noConversion"/>
  </si>
  <si>
    <t>exp_delay_time</t>
    <phoneticPr fontId="36" type="noConversion"/>
  </si>
  <si>
    <t>-</t>
    <phoneticPr fontId="36" type="noConversion"/>
  </si>
  <si>
    <t>TriggerWidthLength</t>
    <phoneticPr fontId="36" type="noConversion"/>
  </si>
  <si>
    <t>TriggerWidth模式下触发信号长度（demo上没有此项设置，在调试时方便计算帧周期）</t>
    <phoneticPr fontId="36" type="noConversion"/>
  </si>
  <si>
    <t>pixel</t>
    <phoneticPr fontId="36" type="noConversion"/>
  </si>
  <si>
    <t>sensor输出的宽度</t>
    <phoneticPr fontId="36" type="noConversion"/>
  </si>
  <si>
    <t>sensor_width_max</t>
    <phoneticPr fontId="36" type="noConversion"/>
  </si>
  <si>
    <t>IF(ExposureTimeMode="Ultra Short",IF(ExposureTime&gt;14,ROUNDUP((ExposureTime*1000-tOFFSET)/1000,0),1),MAX(ROUNDUP(((ExposureTime*1000-tOFFSET)/tRow),0),1))</t>
    <phoneticPr fontId="36" type="noConversion"/>
  </si>
  <si>
    <t>曝光信号实际长度</t>
    <phoneticPr fontId="36" type="noConversion"/>
  </si>
  <si>
    <t>xtrig_length</t>
    <phoneticPr fontId="36" type="noConversion"/>
  </si>
  <si>
    <t>ExposureDelay</t>
    <phoneticPr fontId="36" type="noConversion"/>
  </si>
  <si>
    <t>曝光延迟</t>
    <phoneticPr fontId="36" type="noConversion"/>
  </si>
  <si>
    <t>每路sensor串行差分时钟对应的通道数</t>
    <phoneticPr fontId="36" type="noConversion"/>
  </si>
  <si>
    <t>phy_ch_num</t>
    <phoneticPr fontId="36" type="noConversion"/>
  </si>
  <si>
    <t>sensor相关信息</t>
    <phoneticPr fontId="36" type="noConversion"/>
  </si>
  <si>
    <t>ExposureTime</t>
    <phoneticPr fontId="36" type="noConversion"/>
  </si>
  <si>
    <t>曝光时间</t>
    <phoneticPr fontId="36" type="noConversion"/>
  </si>
  <si>
    <t>sensor串行差分时钟的数量</t>
    <phoneticPr fontId="36" type="noConversion"/>
  </si>
  <si>
    <t>phy_num</t>
    <phoneticPr fontId="36" type="noConversion"/>
  </si>
  <si>
    <t>bandwidth_limit_period_time
（在突发采集“standard”时，不考虑预留带宽,考虑满带宽;
在突发采集“highspeed”时，不考虑带宽）</t>
    <phoneticPr fontId="36" type="noConversion"/>
  </si>
  <si>
    <t>带宽限制帧周期</t>
    <phoneticPr fontId="36" type="noConversion"/>
  </si>
  <si>
    <t>tp_limit_period_time</t>
    <phoneticPr fontId="36" type="noConversion"/>
  </si>
  <si>
    <t>Standard</t>
    <phoneticPr fontId="36" type="noConversion"/>
  </si>
  <si>
    <t>ExposureTimeMode</t>
    <phoneticPr fontId="36" type="noConversion"/>
  </si>
  <si>
    <t>曝光时间模式</t>
    <phoneticPr fontId="36" type="noConversion"/>
  </si>
  <si>
    <t>ns</t>
    <phoneticPr fontId="36" type="noConversion"/>
  </si>
  <si>
    <t>直接对应sensor映射表中的值</t>
    <phoneticPr fontId="36" type="noConversion"/>
  </si>
  <si>
    <t>曝光时间误差(手册Global Shutter (Sequential Trigger Mode) Operation章节，Exposuretime[s]公式最后一个参数)</t>
    <phoneticPr fontId="36" type="noConversion"/>
  </si>
  <si>
    <t>tOFFSET</t>
    <phoneticPr fontId="36" type="noConversion"/>
  </si>
  <si>
    <t>IF(ExposureTimeMode="Ultra Short",ROUNDUP(((100000/AcquisitionFrameRate))*AcquisitionFrameRateMode,0),ROUNDUP(((100000000/AcquisitionFrameRate)/tRow)*AcquisitionFrameRateMode,0))</t>
    <phoneticPr fontId="36" type="noConversion"/>
  </si>
  <si>
    <t>帧率限制帧周期</t>
    <phoneticPr fontId="36" type="noConversion"/>
  </si>
  <si>
    <t>fps_limit_period_time</t>
    <phoneticPr fontId="36" type="noConversion"/>
  </si>
  <si>
    <t>us</t>
    <phoneticPr fontId="36" type="noConversion"/>
  </si>
  <si>
    <t>ExposureOverlapTimeMax</t>
    <phoneticPr fontId="36" type="noConversion"/>
  </si>
  <si>
    <t>line</t>
    <phoneticPr fontId="36" type="noConversion"/>
  </si>
  <si>
    <t>两次曝光间隔最小值(手册Global Shutter (Sequential Trigger Mode) Operation章节，表格Parameter List of Global Shutter中的tTGES+1)</t>
    <phoneticPr fontId="36" type="noConversion"/>
  </si>
  <si>
    <t>ExpIntMin</t>
    <phoneticPr fontId="36" type="noConversion"/>
  </si>
  <si>
    <t>IF(ExposureTimeMode="Ultra Short",xtrig_length+exp_delay_time+readout_time+20,exp_line_num+exp_delay_time+ExpIntMin)</t>
    <phoneticPr fontId="36" type="noConversion"/>
  </si>
  <si>
    <t>曝光时间决定的帧周期</t>
    <phoneticPr fontId="36" type="noConversion"/>
  </si>
  <si>
    <t>exp_period_time</t>
    <phoneticPr fontId="36" type="noConversion"/>
  </si>
  <si>
    <t>Timed</t>
    <phoneticPr fontId="36" type="noConversion"/>
  </si>
  <si>
    <t>ExposureMode</t>
    <phoneticPr fontId="36" type="noConversion"/>
  </si>
  <si>
    <t>曝光模式</t>
    <phoneticPr fontId="36" type="noConversion"/>
  </si>
  <si>
    <r>
      <t>最小帧消隐行数(手册Global Shutter (Sequential Trigger Mode) Operation章节，V</t>
    </r>
    <r>
      <rPr>
        <sz val="9"/>
        <color theme="1"/>
        <rFont val="微软雅黑"/>
        <family val="2"/>
        <charset val="134"/>
      </rPr>
      <t>TR公式</t>
    </r>
    <r>
      <rPr>
        <sz val="11"/>
        <color theme="1"/>
        <rFont val="微软雅黑"/>
        <family val="2"/>
        <charset val="134"/>
      </rPr>
      <t>最后一个参数)</t>
    </r>
    <phoneticPr fontId="36" type="noConversion"/>
  </si>
  <si>
    <t>VBmin</t>
    <phoneticPr fontId="36" type="noConversion"/>
  </si>
  <si>
    <t>IF(ExposureTimeMode="Ultra Short",ROUNDUP((Height+Vbmin+2)*tRow/1000,0),IF(交叠，Height+Vbmin+exp_period_time,Height+Vbmin))</t>
    <phoneticPr fontId="37" type="noConversion"/>
  </si>
  <si>
    <t>读出时间决定的帧周期</t>
    <phoneticPr fontId="36" type="noConversion"/>
  </si>
  <si>
    <t>readout_period_time</t>
    <phoneticPr fontId="36" type="noConversion"/>
  </si>
  <si>
    <t>0（默认交叠曝光）</t>
    <phoneticPr fontId="36" type="noConversion"/>
  </si>
  <si>
    <t>Non-overlapping exposure</t>
    <phoneticPr fontId="36" type="noConversion"/>
  </si>
  <si>
    <t>非交叠曝光模式</t>
    <phoneticPr fontId="36" type="noConversion"/>
  </si>
  <si>
    <t>inck</t>
    <phoneticPr fontId="36" type="noConversion"/>
  </si>
  <si>
    <t>每行宽度(手册Readout Drive Modes章节，见表格，All pixel模式)</t>
    <phoneticPr fontId="36" type="noConversion"/>
  </si>
  <si>
    <t>hmax</t>
    <phoneticPr fontId="36" type="noConversion"/>
  </si>
  <si>
    <t>决定帧周期的四个变量</t>
    <phoneticPr fontId="36" type="noConversion"/>
  </si>
  <si>
    <r>
      <t xml:space="preserve">有效像素边界(手册Pixel Arrangement章节，图示)
</t>
    </r>
    <r>
      <rPr>
        <sz val="11"/>
        <color rgb="FFFF0000"/>
        <rFont val="微软雅黑"/>
        <family val="2"/>
        <charset val="134"/>
      </rPr>
      <t>实际预研结果，sensor skip不需要修改垂直高度和偏移（TBD）</t>
    </r>
    <phoneticPr fontId="36" type="noConversion"/>
  </si>
  <si>
    <t>margin_y</t>
    <phoneticPr fontId="36" type="noConversion"/>
  </si>
  <si>
    <t>fps</t>
    <phoneticPr fontId="36" type="noConversion"/>
  </si>
  <si>
    <t>1000000/tFrame</t>
    <phoneticPr fontId="36" type="noConversion"/>
  </si>
  <si>
    <t>帧率</t>
    <phoneticPr fontId="36" type="noConversion"/>
  </si>
  <si>
    <t>fFrame</t>
    <phoneticPr fontId="36" type="noConversion"/>
  </si>
  <si>
    <t xml:space="preserve">PixelBitDepth </t>
    <phoneticPr fontId="36" type="noConversion"/>
  </si>
  <si>
    <t>像素位深（8/10/12）</t>
    <phoneticPr fontId="36" type="noConversion"/>
  </si>
  <si>
    <t>有效像素边界
(手册Pixel Arrangement章节，图示)</t>
    <phoneticPr fontId="36" type="noConversion"/>
  </si>
  <si>
    <t>margin_x</t>
    <phoneticPr fontId="36" type="noConversion"/>
  </si>
  <si>
    <t>IF(ExposureTimeMode="Ultra Short",MAX(readout_period_time,exp_period_time,fps_limit_period_time,tp_limit_period_time),IF(ExposureMode="TriggerWidth",ROUNDUP(MAX(readout_period_time,exp_period_triggerwidth,fps_limit_period_time)*J6/1000,0),ROUNDUP(MAX(readout_period_time,exp_period_time,fps_limit_period_time)*J6/1000,0)))</t>
    <phoneticPr fontId="36" type="noConversion"/>
  </si>
  <si>
    <t>帧周期</t>
    <phoneticPr fontId="36" type="noConversion"/>
  </si>
  <si>
    <t>tFrame</t>
    <phoneticPr fontId="36" type="noConversion"/>
  </si>
  <si>
    <t>PixelFormat</t>
    <phoneticPr fontId="36" type="noConversion"/>
  </si>
  <si>
    <t>KHz</t>
    <phoneticPr fontId="36" type="noConversion"/>
  </si>
  <si>
    <t>37.125 or 54 or 74.25 抖动幅度0.96~1.02</t>
    <phoneticPr fontId="36" type="noConversion"/>
  </si>
  <si>
    <t>Sensor输入时钟频率
(手册第一页Features Input frequency)</t>
    <phoneticPr fontId="36" type="noConversion"/>
  </si>
  <si>
    <t>ROUNDUP(1000000*hmax/Finck),0)</t>
    <phoneticPr fontId="36" type="noConversion"/>
  </si>
  <si>
    <t>行周期</t>
    <phoneticPr fontId="36" type="noConversion"/>
  </si>
  <si>
    <t>tRow</t>
    <phoneticPr fontId="36" type="noConversion"/>
  </si>
  <si>
    <t>像素格式</t>
    <phoneticPr fontId="36" type="noConversion"/>
  </si>
  <si>
    <t>像素格式(8/10/12)</t>
    <phoneticPr fontId="36" type="noConversion"/>
  </si>
  <si>
    <t>10GIGE</t>
    <phoneticPr fontId="36" type="noConversion"/>
  </si>
  <si>
    <t>IMX992</t>
    <phoneticPr fontId="36" type="noConversion"/>
  </si>
  <si>
    <t>MARS-533-134GTM-TN-SWIR</t>
    <phoneticPr fontId="36" type="noConversion"/>
  </si>
  <si>
    <t>单位</t>
    <phoneticPr fontId="36" type="noConversion"/>
  </si>
  <si>
    <t>推算值
dec</t>
    <phoneticPr fontId="36" type="noConversion"/>
  </si>
  <si>
    <t>公式</t>
    <phoneticPr fontId="36" type="noConversion"/>
  </si>
  <si>
    <t>描述</t>
    <phoneticPr fontId="36" type="noConversion"/>
  </si>
  <si>
    <t>参数</t>
    <phoneticPr fontId="36" type="noConversion"/>
  </si>
  <si>
    <t>帧率</t>
    <phoneticPr fontId="36" type="noConversion"/>
  </si>
  <si>
    <t>用户值</t>
    <phoneticPr fontId="36" type="noConversion"/>
  </si>
  <si>
    <t>默认值</t>
    <phoneticPr fontId="36" type="noConversion"/>
  </si>
  <si>
    <t>parameter</t>
    <phoneticPr fontId="36" type="noConversion"/>
  </si>
  <si>
    <t>23.gtx Clock</t>
    <phoneticPr fontId="36" type="noConversion"/>
  </si>
  <si>
    <t>22.Pix Clock</t>
    <phoneticPr fontId="36" type="noConversion"/>
  </si>
  <si>
    <t>21.isp_ch_num</t>
    <phoneticPr fontId="36" type="noConversion"/>
  </si>
  <si>
    <t>20.PixelFormat</t>
    <phoneticPr fontId="36" type="noConversion"/>
  </si>
  <si>
    <t>19.Default FrameRate</t>
    <phoneticPr fontId="36" type="noConversion"/>
  </si>
  <si>
    <t>18.Default ExposureTime</t>
    <phoneticPr fontId="36" type="noConversion"/>
  </si>
  <si>
    <t>17.tTGDLY</t>
    <phoneticPr fontId="36" type="noConversion"/>
  </si>
  <si>
    <t>16.tOFFSET</t>
    <phoneticPr fontId="36" type="noConversion"/>
  </si>
  <si>
    <t>15.ExpIntMin</t>
    <phoneticPr fontId="36" type="noConversion"/>
  </si>
  <si>
    <t>14.VBmin</t>
    <phoneticPr fontId="36" type="noConversion"/>
  </si>
  <si>
    <t>13.hmax</t>
    <phoneticPr fontId="36" type="noConversion"/>
  </si>
  <si>
    <t>12.sensor_height_max</t>
    <phoneticPr fontId="36" type="noConversion"/>
  </si>
  <si>
    <t>11.sensor_width_max</t>
    <phoneticPr fontId="36" type="noConversion"/>
  </si>
  <si>
    <t>10.sensor_height_min</t>
    <phoneticPr fontId="36" type="noConversion"/>
  </si>
  <si>
    <t>9.sensor_width_min</t>
    <phoneticPr fontId="36" type="noConversion"/>
  </si>
  <si>
    <t>8.margin_y</t>
    <phoneticPr fontId="36" type="noConversion"/>
  </si>
  <si>
    <t>7.margin_x</t>
    <phoneticPr fontId="36" type="noConversion"/>
  </si>
  <si>
    <t>6.phy ch num</t>
    <phoneticPr fontId="36" type="noConversion"/>
  </si>
  <si>
    <t>5.phy num</t>
    <phoneticPr fontId="36" type="noConversion"/>
  </si>
  <si>
    <t xml:space="preserve">4.Master Clock </t>
    <phoneticPr fontId="36" type="noConversion"/>
  </si>
  <si>
    <t>3.port</t>
    <phoneticPr fontId="36" type="noConversion"/>
  </si>
  <si>
    <t>2.sensor</t>
    <phoneticPr fontId="36" type="noConversion"/>
  </si>
  <si>
    <t>1.camera_model</t>
    <phoneticPr fontId="36" type="noConversion"/>
  </si>
  <si>
    <t>sensor固定参数</t>
    <phoneticPr fontId="36" type="noConversion"/>
  </si>
  <si>
    <t>计算值</t>
    <phoneticPr fontId="36" type="noConversion"/>
  </si>
  <si>
    <t>参数输入</t>
    <phoneticPr fontId="36" type="noConversion"/>
  </si>
  <si>
    <t>映射关系表（绝大多数应用于本表格的公式计算，还有一些关联fpga工程中的宏定义）</t>
    <phoneticPr fontId="36" type="noConversion"/>
  </si>
  <si>
    <t>计算过程</t>
    <phoneticPr fontId="36" type="noConversion"/>
  </si>
  <si>
    <t>计算结果</t>
    <phoneticPr fontId="36" type="noConversion"/>
  </si>
  <si>
    <t>MARS-533-134GTM-TN-SWIR</t>
    <phoneticPr fontId="36" type="noConversion"/>
  </si>
  <si>
    <t>camera_model</t>
    <phoneticPr fontId="36" type="noConversion"/>
  </si>
  <si>
    <t>相机型号</t>
    <phoneticPr fontId="36" type="noConversion"/>
  </si>
  <si>
    <t>FPGA平台</t>
    <phoneticPr fontId="36" type="noConversion"/>
  </si>
  <si>
    <t>fpga_platform</t>
    <phoneticPr fontId="36" type="noConversion"/>
  </si>
  <si>
    <t>FPS</t>
    <phoneticPr fontId="36" type="noConversion"/>
  </si>
  <si>
    <t>PixelFormat</t>
    <phoneticPr fontId="36" type="noConversion"/>
  </si>
  <si>
    <t>SensorBitDepth</t>
    <phoneticPr fontId="36" type="noConversion"/>
  </si>
  <si>
    <t>ExposureTimeMode</t>
    <phoneticPr fontId="36" type="noConversion"/>
  </si>
  <si>
    <t>SensorDecimation</t>
    <phoneticPr fontId="36" type="noConversion"/>
  </si>
  <si>
    <t>BinningVertical</t>
    <phoneticPr fontId="36" type="noConversion"/>
  </si>
  <si>
    <t>Parameter input：</t>
    <phoneticPr fontId="36" type="noConversion"/>
  </si>
  <si>
    <t>byte</t>
    <phoneticPr fontId="36" type="noConversion"/>
  </si>
  <si>
    <t>frame_size</t>
    <phoneticPr fontId="36" type="noConversion"/>
  </si>
  <si>
    <t>(leader+trailer+incomplete_packet_num+complete_packet_num)*(GevSCPD,ifg_min)</t>
    <phoneticPr fontId="36" type="noConversion"/>
  </si>
  <si>
    <t>-</t>
    <phoneticPr fontId="37" type="noConversion"/>
  </si>
  <si>
    <t>以太网传输trailer包的大小（包含全部协议开销）</t>
    <phoneticPr fontId="36" type="noConversion"/>
  </si>
  <si>
    <t>trailer_packet_size</t>
    <phoneticPr fontId="36" type="noConversion"/>
  </si>
  <si>
    <t>可以分开设置</t>
    <phoneticPr fontId="36" type="noConversion"/>
  </si>
  <si>
    <t>Horizontal Skipping（sensor）</t>
    <phoneticPr fontId="37" type="noConversion"/>
  </si>
  <si>
    <t>高帧率burst模式寄存器
0:高帧率burst模式关闭，为标准模式，burst中间帧帧周期为连续模式帧周期
1:高帧率burst模式开启，为高速模式，burst中间帧帧周期为触发模式帧周期</t>
    <phoneticPr fontId="36" type="noConversion"/>
  </si>
  <si>
    <t>dec2hex(fast_burst_mode)</t>
    <phoneticPr fontId="36" type="noConversion"/>
  </si>
  <si>
    <t>高帧率burst模式寄存器</t>
    <phoneticPr fontId="36" type="noConversion"/>
  </si>
  <si>
    <t>fast_burst_mode</t>
    <phoneticPr fontId="36" type="noConversion"/>
  </si>
  <si>
    <t>经过最小包长判断之后的残包大小（净长）</t>
    <phoneticPr fontId="36" type="noConversion"/>
  </si>
  <si>
    <t>incomplete_packet_size_min</t>
    <phoneticPr fontId="36" type="noConversion"/>
  </si>
  <si>
    <t>Vertical Binning</t>
    <phoneticPr fontId="36" type="noConversion"/>
  </si>
  <si>
    <t>垂直Binning</t>
    <phoneticPr fontId="36" type="noConversion"/>
  </si>
  <si>
    <t>PGI功能需要使用的行消隐寄存器，行消隐固定为最大宽度时的值，当Vbmin较小时也适用</t>
    <phoneticPr fontId="36" type="noConversion"/>
  </si>
  <si>
    <t>DEC2HEX((tRow-Width/isp_ch_num*1000000/clk_pix))/(1000000/clk_pix))</t>
    <phoneticPr fontId="36" type="noConversion"/>
  </si>
  <si>
    <t>0x11100010</t>
    <phoneticPr fontId="36" type="noConversion"/>
  </si>
  <si>
    <t>水平行消隐，单位是clk_pix</t>
    <phoneticPr fontId="36" type="noConversion"/>
  </si>
  <si>
    <t>roi_line_hide</t>
    <phoneticPr fontId="36" type="noConversion"/>
  </si>
  <si>
    <t>个</t>
    <phoneticPr fontId="36" type="noConversion"/>
  </si>
  <si>
    <t>if(incomplete_packet_size==0,0,1)</t>
    <phoneticPr fontId="36" type="noConversion"/>
  </si>
  <si>
    <t>残包个数</t>
    <phoneticPr fontId="36" type="noConversion"/>
  </si>
  <si>
    <t>incomplete_packet_num</t>
    <phoneticPr fontId="36" type="noConversion"/>
  </si>
  <si>
    <t>Horizontal Binning</t>
    <phoneticPr fontId="37" type="noConversion"/>
  </si>
  <si>
    <t>水平Binning</t>
    <phoneticPr fontId="36" type="noConversion"/>
  </si>
  <si>
    <t>0x11400084</t>
    <phoneticPr fontId="36" type="noConversion"/>
  </si>
  <si>
    <t>image_chunk_size-(GevSCPSPacketSize-header_in_payload)*complete_packet_num</t>
    <phoneticPr fontId="36" type="noConversion"/>
  </si>
  <si>
    <t>残包大小（净长）</t>
    <phoneticPr fontId="36" type="noConversion"/>
  </si>
  <si>
    <t>incomplete_packet_size</t>
    <phoneticPr fontId="36" type="noConversion"/>
  </si>
  <si>
    <t>FPGA Binning/Skipping</t>
    <phoneticPr fontId="36" type="noConversion"/>
  </si>
  <si>
    <t>0x11400080</t>
    <phoneticPr fontId="36" type="noConversion"/>
  </si>
  <si>
    <t>int(image_chunk_size/(GevSCPSPacketSize-header_in_payload))</t>
    <phoneticPr fontId="36" type="noConversion"/>
  </si>
  <si>
    <t>完整包个数</t>
    <phoneticPr fontId="36" type="noConversion"/>
  </si>
  <si>
    <t>fps</t>
    <phoneticPr fontId="36" type="noConversion"/>
  </si>
  <si>
    <t>帧率控制</t>
    <phoneticPr fontId="36" type="noConversion"/>
  </si>
  <si>
    <t>上层修改包长之后，固件需要设置该寄存器给FPGA，只能停采期间设置</t>
    <phoneticPr fontId="37" type="noConversion"/>
  </si>
  <si>
    <t>dec2hex(GevSCPSPacketSize-header_in_payload)</t>
    <phoneticPr fontId="36" type="noConversion"/>
  </si>
  <si>
    <t>0x11200100</t>
    <phoneticPr fontId="36" type="noConversion"/>
  </si>
  <si>
    <t>packet_length</t>
    <phoneticPr fontId="36" type="noConversion"/>
  </si>
  <si>
    <t>image_size+32*chunk_mode_active</t>
    <phoneticPr fontId="36" type="noConversion"/>
  </si>
  <si>
    <t>图像+chunk大小（净长）</t>
    <phoneticPr fontId="36" type="noConversion"/>
  </si>
  <si>
    <t>image_chunk_size</t>
    <phoneticPr fontId="36" type="noConversion"/>
  </si>
  <si>
    <t>-</t>
    <phoneticPr fontId="36" type="noConversion"/>
  </si>
  <si>
    <t>AcquisitionFrameRateMode</t>
    <phoneticPr fontId="36" type="noConversion"/>
  </si>
  <si>
    <t>采集帧率调节模式(0/1)</t>
    <phoneticPr fontId="36" type="noConversion"/>
  </si>
  <si>
    <t>读出时间寄存器，由于只在停采期间会发生改变，因此不用作生效时机控制</t>
    <phoneticPr fontId="36" type="noConversion"/>
  </si>
  <si>
    <t>dec2hex(readout_period_time)</t>
    <phoneticPr fontId="36" type="noConversion"/>
  </si>
  <si>
    <t>0x1100084c</t>
    <phoneticPr fontId="36" type="noConversion"/>
  </si>
  <si>
    <t>sensor读出时间</t>
    <phoneticPr fontId="36" type="noConversion"/>
  </si>
  <si>
    <t>readout_time</t>
    <phoneticPr fontId="36" type="noConversion"/>
  </si>
  <si>
    <t>Height*Width*n，if pixel format = 8bit，n=1; else if pixel format = 10/12bit,  n=2;  else if pixel format = 10p/12p,  n=1.5;(gige vision 2.0 packed)</t>
    <phoneticPr fontId="37" type="noConversion"/>
  </si>
  <si>
    <t>传输图像大小（净长）</t>
    <phoneticPr fontId="36" type="noConversion"/>
  </si>
  <si>
    <t>image_size</t>
    <phoneticPr fontId="36" type="noConversion"/>
  </si>
  <si>
    <t>us</t>
    <phoneticPr fontId="36" type="noConversion"/>
  </si>
  <si>
    <t xml:space="preserve">IF((TriggerMode=1)*(ExposureMode="TriggerWidth"),IF(TriggerWidthLength&gt;ExposureOverlapTimeMax,(ROUNDUP((1000*TriggerWidthLength/tRow),0)*tRow+tOFFSET)/1000,(ROUNDUP((1000*ExposureOverlapTimeMax/tRow),0)*tRow+tOFFSET)/1000),"null")        </t>
    <phoneticPr fontId="36" type="noConversion"/>
  </si>
  <si>
    <t>TriggerWidth模式下实际曝光时间</t>
    <phoneticPr fontId="36" type="noConversion"/>
  </si>
  <si>
    <t>exp_time_triggerwidth</t>
    <phoneticPr fontId="36" type="noConversion"/>
  </si>
  <si>
    <t xml:space="preserve">1、只有当sensor从其他曝光时间切换至Ultra Short模式的14us及以下时，先将该寄存器置0，然后查询完整帧标志，完整帧标志无效后，设置sensor的Ultra Short相关寄存器为对应曝光值，之后将该寄存器置1，完成曝光时间的设置
2、当sensor工作在其他曝光时间时，无论是Ultra Short模式的15-100us，还是工作在standard模式，该寄存器需要保持为1
</t>
    <phoneticPr fontId="36" type="noConversion"/>
  </si>
  <si>
    <t>IF(ExposureMode="Ultra Short",0,1)</t>
    <phoneticPr fontId="36" type="noConversion"/>
  </si>
  <si>
    <t>0x110007fc</t>
    <phoneticPr fontId="36" type="noConversion"/>
  </si>
  <si>
    <t>曝光使能信号，控制sensor工作在Ultra Short模式的时候是否可以开始曝光
0-可以曝光
1-不能曝光</t>
    <phoneticPr fontId="36" type="noConversion"/>
  </si>
  <si>
    <t>exp_enable</t>
    <phoneticPr fontId="36" type="noConversion"/>
  </si>
  <si>
    <t>大恒专用帧信息，48byte</t>
    <phoneticPr fontId="36" type="noConversion"/>
  </si>
  <si>
    <t>chunk大小</t>
    <phoneticPr fontId="36" type="noConversion"/>
  </si>
  <si>
    <t>chunk_size</t>
    <phoneticPr fontId="36" type="noConversion"/>
  </si>
  <si>
    <t>line</t>
    <phoneticPr fontId="36" type="noConversion"/>
  </si>
  <si>
    <t xml:space="preserve">IF((TriggerMode=1)*(ExposureMode="TriggerWidth"),readout_period_time+IF(ROUNDUP((1000*TriggerWidthLength/tRow),0)&gt;exp_overlaptime_maxline_num,ROUNDUP((1000*TriggerWidthLength/tRow),0)-exp_overlaptime_maxline_num,0),"null")    </t>
    <phoneticPr fontId="36" type="noConversion"/>
  </si>
  <si>
    <t>exp_period_triggerwidth</t>
    <phoneticPr fontId="36" type="noConversion"/>
  </si>
  <si>
    <t>sonyimx系列sensor工作模式寄存器，只能在停采期间设置</t>
    <phoneticPr fontId="36" type="noConversion"/>
  </si>
  <si>
    <t>0x110007f8</t>
    <phoneticPr fontId="36" type="noConversion"/>
  </si>
  <si>
    <t>sonyimx系列sensor工作模式
0-master模式
1-slave模式</t>
    <phoneticPr fontId="36" type="noConversion"/>
  </si>
  <si>
    <t>sonyimx_sensor_mode</t>
    <phoneticPr fontId="36" type="noConversion"/>
  </si>
  <si>
    <t>实际上trailer大小是8byte，为了和64byte的以太网包对齐，此处写为10byte</t>
    <phoneticPr fontId="36" type="noConversion"/>
  </si>
  <si>
    <t>trailer长度（净长）</t>
    <phoneticPr fontId="36" type="noConversion"/>
  </si>
  <si>
    <t>trailer_size</t>
    <phoneticPr fontId="36" type="noConversion"/>
  </si>
  <si>
    <t>MAX(INT(ExposureOverlapTimeMax*1000/tRow),1)</t>
    <phoneticPr fontId="36" type="noConversion"/>
  </si>
  <si>
    <t>交叠曝光对应的行数</t>
    <phoneticPr fontId="36" type="noConversion"/>
  </si>
  <si>
    <t>exp_overlaptime_maxline_num</t>
    <phoneticPr fontId="36" type="noConversion"/>
  </si>
  <si>
    <t>ns</t>
    <phoneticPr fontId="36" type="noConversion"/>
  </si>
  <si>
    <t>0x1</t>
    <phoneticPr fontId="36" type="noConversion"/>
  </si>
  <si>
    <t>1:成组生效寄存器设置完成</t>
    <phoneticPr fontId="36" type="noConversion"/>
  </si>
  <si>
    <t>0x11100000</t>
    <phoneticPr fontId="36" type="noConversion"/>
  </si>
  <si>
    <t>寄存器成组生效标志，自清零</t>
    <phoneticPr fontId="36" type="noConversion"/>
  </si>
  <si>
    <t>param_cfg_done</t>
    <phoneticPr fontId="36" type="noConversion"/>
  </si>
  <si>
    <t>chunk off:36
chunk on:12</t>
    <phoneticPr fontId="36" type="noConversion"/>
  </si>
  <si>
    <t>leader长度（净长）</t>
    <phoneticPr fontId="36" type="noConversion"/>
  </si>
  <si>
    <t>leader_size</t>
    <phoneticPr fontId="36" type="noConversion"/>
  </si>
  <si>
    <t>TriggerWidth模式</t>
    <phoneticPr fontId="36" type="noConversion"/>
  </si>
  <si>
    <t>流通道包长(指的是以太网的负载包长 范围:512-8192)该数值不包含以太网协议开销</t>
    <phoneticPr fontId="36" type="noConversion"/>
  </si>
  <si>
    <t>dec2hex(FramePeriod)</t>
    <phoneticPr fontId="36" type="noConversion"/>
  </si>
  <si>
    <t>0x11000844</t>
    <phoneticPr fontId="36" type="noConversion"/>
  </si>
  <si>
    <t>触发间隔寄存器-单帧采集模式</t>
    <phoneticPr fontId="36" type="noConversion"/>
  </si>
  <si>
    <t>单位</t>
    <phoneticPr fontId="36" type="noConversion"/>
  </si>
  <si>
    <t>公式</t>
    <phoneticPr fontId="36" type="noConversion"/>
  </si>
  <si>
    <t>描述</t>
    <phoneticPr fontId="36" type="noConversion"/>
  </si>
  <si>
    <t>%</t>
    <phoneticPr fontId="36" type="noConversion"/>
  </si>
  <si>
    <t>IF((100-ROUNDDOWN(10*frame_size/(125000*GevLinkSpeed),0)-1)&lt;0,0,(100-ROUNDDOWN(10*frame_size/(125000*GevLinkSpeed),0)-1))    GevLinkSpeed=10000</t>
    <phoneticPr fontId="36" type="noConversion"/>
  </si>
  <si>
    <t>最大预留带宽</t>
    <phoneticPr fontId="36" type="noConversion"/>
  </si>
  <si>
    <t>Max BandwidthReserve</t>
    <phoneticPr fontId="36" type="noConversion"/>
  </si>
  <si>
    <t>Mbit/s</t>
    <phoneticPr fontId="36" type="noConversion"/>
  </si>
  <si>
    <t>网络连接速度</t>
    <phoneticPr fontId="36" type="noConversion"/>
  </si>
  <si>
    <t>0x11000848</t>
    <phoneticPr fontId="36" type="noConversion"/>
  </si>
  <si>
    <t>触发间隔寄存器-触发模式</t>
    <phoneticPr fontId="36" type="noConversion"/>
  </si>
  <si>
    <t>trigger_interval_trig</t>
    <phoneticPr fontId="36" type="noConversion"/>
  </si>
  <si>
    <t>帧周期参数-GIGE</t>
    <phoneticPr fontId="36" type="noConversion"/>
  </si>
  <si>
    <t>0x1100080c</t>
    <phoneticPr fontId="36" type="noConversion"/>
  </si>
  <si>
    <t>触发间隔寄存器-连续模式</t>
    <phoneticPr fontId="36" type="noConversion"/>
  </si>
  <si>
    <t>trigger_interval_cont</t>
    <phoneticPr fontId="36" type="noConversion"/>
  </si>
  <si>
    <t>64-eth_header-fcs-header_in_payload</t>
    <phoneticPr fontId="36" type="noConversion"/>
  </si>
  <si>
    <t>数据包长最小值</t>
    <phoneticPr fontId="36" type="noConversion"/>
  </si>
  <si>
    <t>data_size_min</t>
    <phoneticPr fontId="36" type="noConversion"/>
  </si>
  <si>
    <t>IF(ROUNDUP(max_gevscpd_byte_num*1000*8/GevLinkSpeed,0)&gt;200000000,200000000,ROUNDUP(max_gevscpd_byte_num*1000*8/GevLinkSpeed,0))</t>
    <phoneticPr fontId="36" type="noConversion"/>
  </si>
  <si>
    <t>最大包间隔时间</t>
    <phoneticPr fontId="36" type="noConversion"/>
  </si>
  <si>
    <t>Max gevSCPD</t>
    <phoneticPr fontId="36" type="noConversion"/>
  </si>
  <si>
    <t>序列配置模式使能</t>
    <phoneticPr fontId="36" type="noConversion"/>
  </si>
  <si>
    <t>sequencer_configration_mode</t>
    <phoneticPr fontId="36" type="noConversion"/>
  </si>
  <si>
    <t>dec2hex(exp_overlaptime_maxline_num)</t>
    <phoneticPr fontId="36" type="noConversion"/>
  </si>
  <si>
    <t>0x11000854</t>
    <phoneticPr fontId="36" type="noConversion"/>
  </si>
  <si>
    <t>电平控制曝光模式下，预期交叠曝光时间控制寄存器，以行为单位</t>
    <phoneticPr fontId="36" type="noConversion"/>
  </si>
  <si>
    <t>sonyimx_overlap_time_max</t>
    <phoneticPr fontId="36" type="noConversion"/>
  </si>
  <si>
    <t>preamble+sfd+eth_header+fcs</t>
    <phoneticPr fontId="36" type="noConversion"/>
  </si>
  <si>
    <t>协议开销总和II:以太网协议开销</t>
    <phoneticPr fontId="36" type="noConversion"/>
  </si>
  <si>
    <t>eth_protocol_byte</t>
    <phoneticPr fontId="36" type="noConversion"/>
  </si>
  <si>
    <t>最大包间隔</t>
    <phoneticPr fontId="36" type="noConversion"/>
  </si>
  <si>
    <t>写带宽/Mbps</t>
    <phoneticPr fontId="36" type="noConversion"/>
  </si>
  <si>
    <t>payload/byte</t>
    <phoneticPr fontId="36" type="noConversion"/>
  </si>
  <si>
    <t>IF(ExposureMode="TriggerWidth",1,0)</t>
    <phoneticPr fontId="36" type="noConversion"/>
  </si>
  <si>
    <t>0x11000850</t>
    <phoneticPr fontId="36" type="noConversion"/>
  </si>
  <si>
    <t xml:space="preserve">曝光模式控制寄存器
0:timed
1:trigger width
2:trigger </t>
    <phoneticPr fontId="36" type="noConversion"/>
  </si>
  <si>
    <t>sonyimx_exposure_mode</t>
    <phoneticPr fontId="36" type="noConversion"/>
  </si>
  <si>
    <t>ip_header+udp_header+gigev_header</t>
    <phoneticPr fontId="36" type="noConversion"/>
  </si>
  <si>
    <t>协议开销总和I:以太网负载部分的协议开销</t>
    <phoneticPr fontId="36" type="noConversion"/>
  </si>
  <si>
    <t>header_in_payload</t>
    <phoneticPr fontId="36" type="noConversion"/>
  </si>
  <si>
    <t>ChunkModeActive</t>
    <phoneticPr fontId="36" type="noConversion"/>
  </si>
  <si>
    <t>帧信息使能</t>
    <phoneticPr fontId="36" type="noConversion"/>
  </si>
  <si>
    <t>dec2hex(exp_line_num)</t>
    <phoneticPr fontId="36" type="noConversion"/>
  </si>
  <si>
    <t>0x11000808</t>
    <phoneticPr fontId="36" type="noConversion"/>
  </si>
  <si>
    <t>FPGA曝光寄存器</t>
    <phoneticPr fontId="36" type="noConversion"/>
  </si>
  <si>
    <t>exp_time</t>
    <phoneticPr fontId="36" type="noConversion"/>
  </si>
  <si>
    <t>固定为12byte</t>
    <phoneticPr fontId="36" type="noConversion"/>
  </si>
  <si>
    <t>最小帧间隔</t>
    <phoneticPr fontId="36" type="noConversion"/>
  </si>
  <si>
    <t>ifg_min</t>
    <phoneticPr fontId="36" type="noConversion"/>
  </si>
  <si>
    <t>chunk</t>
    <phoneticPr fontId="36" type="noConversion"/>
  </si>
  <si>
    <t>isp</t>
    <phoneticPr fontId="36" type="noConversion"/>
  </si>
  <si>
    <t>dec2hex(ExpDelayLine)</t>
    <phoneticPr fontId="36" type="noConversion"/>
  </si>
  <si>
    <t>0x11000804</t>
    <phoneticPr fontId="36" type="noConversion"/>
  </si>
  <si>
    <t>FPGA曝光延迟寄存器</t>
    <phoneticPr fontId="36" type="noConversion"/>
  </si>
  <si>
    <t>exp_delay</t>
    <phoneticPr fontId="36" type="noConversion"/>
  </si>
  <si>
    <t>固定为4byte</t>
    <phoneticPr fontId="36" type="noConversion"/>
  </si>
  <si>
    <t>CRC校验</t>
    <phoneticPr fontId="36" type="noConversion"/>
  </si>
  <si>
    <t>fcs</t>
    <phoneticPr fontId="36" type="noConversion"/>
  </si>
  <si>
    <t>pixel</t>
    <phoneticPr fontId="36" type="noConversion"/>
  </si>
  <si>
    <t>Height</t>
    <phoneticPr fontId="36" type="noConversion"/>
  </si>
  <si>
    <t>图像高度</t>
    <phoneticPr fontId="36" type="noConversion"/>
  </si>
  <si>
    <t>ipif</t>
    <phoneticPr fontId="36" type="noConversion"/>
  </si>
  <si>
    <t>帧周期相关寄存器，固件重新计算帧周期之后，会将对应的寄存器重新设置给FPGA，最后再设置一次成组生效寄存器，成组生效寄存器有效之后，之前设置的寄存器才会生效</t>
    <phoneticPr fontId="37" type="noConversion"/>
  </si>
  <si>
    <t>dec2hex(hmax)</t>
    <phoneticPr fontId="36" type="noConversion"/>
  </si>
  <si>
    <t>0x11000800</t>
    <phoneticPr fontId="36" type="noConversion"/>
  </si>
  <si>
    <t>FPGA行周期</t>
    <phoneticPr fontId="36" type="noConversion"/>
  </si>
  <si>
    <t>slave_hmax</t>
    <phoneticPr fontId="36" type="noConversion"/>
  </si>
  <si>
    <t>固定为8byte</t>
    <phoneticPr fontId="36" type="noConversion"/>
  </si>
  <si>
    <t>gige vision协议头</t>
    <phoneticPr fontId="36" type="noConversion"/>
  </si>
  <si>
    <t>gigev_header</t>
    <phoneticPr fontId="36" type="noConversion"/>
  </si>
  <si>
    <t>Byte/s</t>
    <phoneticPr fontId="36" type="noConversion"/>
  </si>
  <si>
    <t>1250*GevLinkSpeed*(100-BandwidthReserve)</t>
    <phoneticPr fontId="36" type="noConversion"/>
  </si>
  <si>
    <t>传输理论带宽</t>
    <phoneticPr fontId="36" type="noConversion"/>
  </si>
  <si>
    <t>Transport theoretical value</t>
    <phoneticPr fontId="36" type="noConversion"/>
  </si>
  <si>
    <t>Width</t>
    <phoneticPr fontId="36" type="noConversion"/>
  </si>
  <si>
    <t>图像宽度</t>
    <phoneticPr fontId="36" type="noConversion"/>
  </si>
  <si>
    <t>sensor</t>
    <phoneticPr fontId="36" type="noConversion"/>
  </si>
  <si>
    <t>说明</t>
    <phoneticPr fontId="36" type="noConversion"/>
  </si>
  <si>
    <t>推算值
hex</t>
    <phoneticPr fontId="36" type="noConversion"/>
  </si>
  <si>
    <t>地址(hex)</t>
    <phoneticPr fontId="36" type="noConversion"/>
  </si>
  <si>
    <t>寄存器名</t>
    <phoneticPr fontId="36" type="noConversion"/>
  </si>
  <si>
    <t>udp协议头</t>
    <phoneticPr fontId="36" type="noConversion"/>
  </si>
  <si>
    <t>udp_header</t>
    <phoneticPr fontId="36" type="noConversion"/>
  </si>
  <si>
    <t>frame_freq*frame_packet_size</t>
    <phoneticPr fontId="36" type="noConversion"/>
  </si>
  <si>
    <t>传输总带宽</t>
    <phoneticPr fontId="36" type="noConversion"/>
  </si>
  <si>
    <t>OffsetY</t>
    <phoneticPr fontId="36" type="noConversion"/>
  </si>
  <si>
    <t>垂直偏移</t>
    <phoneticPr fontId="36" type="noConversion"/>
  </si>
  <si>
    <t>行消隐/ns</t>
    <phoneticPr fontId="36" type="noConversion"/>
  </si>
  <si>
    <t>行消隐/clk</t>
    <phoneticPr fontId="36" type="noConversion"/>
  </si>
  <si>
    <t>行正程/ns</t>
    <phoneticPr fontId="36" type="noConversion"/>
  </si>
  <si>
    <t>行正程/clk</t>
    <phoneticPr fontId="36" type="noConversion"/>
  </si>
  <si>
    <t>行周期/ns</t>
    <phoneticPr fontId="36" type="noConversion"/>
  </si>
  <si>
    <t>行周期/clk</t>
    <phoneticPr fontId="36" type="noConversion"/>
  </si>
  <si>
    <t>最大行宽</t>
    <phoneticPr fontId="36" type="noConversion"/>
  </si>
  <si>
    <t>通道数</t>
    <phoneticPr fontId="36" type="noConversion"/>
  </si>
  <si>
    <t>时钟</t>
    <phoneticPr fontId="36" type="noConversion"/>
  </si>
  <si>
    <t>模块</t>
    <phoneticPr fontId="36" type="noConversion"/>
  </si>
  <si>
    <t>FPGA寄存器</t>
    <phoneticPr fontId="36" type="noConversion"/>
  </si>
  <si>
    <t>固定为20byte</t>
    <phoneticPr fontId="36" type="noConversion"/>
  </si>
  <si>
    <t>ip协议头</t>
    <phoneticPr fontId="36" type="noConversion"/>
  </si>
  <si>
    <t>ip_header</t>
    <phoneticPr fontId="36" type="noConversion"/>
  </si>
  <si>
    <t>图像有效带宽</t>
    <phoneticPr fontId="36" type="noConversion"/>
  </si>
  <si>
    <t>Image effective bandwidth</t>
    <phoneticPr fontId="36" type="noConversion"/>
  </si>
  <si>
    <t>OffsetX</t>
    <phoneticPr fontId="36" type="noConversion"/>
  </si>
  <si>
    <t>行消隐计算
JUP-2010G</t>
    <phoneticPr fontId="36" type="noConversion"/>
  </si>
  <si>
    <t>设置寄存器</t>
    <phoneticPr fontId="36" type="noConversion"/>
  </si>
  <si>
    <t>目的地址6byte+源地址6byte+以太网类型2byte</t>
    <phoneticPr fontId="36" type="noConversion"/>
  </si>
  <si>
    <t>以太网协议头</t>
    <phoneticPr fontId="36" type="noConversion"/>
  </si>
  <si>
    <t>预估带宽</t>
    <phoneticPr fontId="36" type="noConversion"/>
  </si>
  <si>
    <t>ROI</t>
    <phoneticPr fontId="36" type="noConversion"/>
  </si>
  <si>
    <t>固定为1byte</t>
    <phoneticPr fontId="36" type="noConversion"/>
  </si>
  <si>
    <t>起始帧分界符</t>
    <phoneticPr fontId="36" type="noConversion"/>
  </si>
  <si>
    <t>sfd</t>
    <phoneticPr fontId="36" type="noConversion"/>
  </si>
  <si>
    <t>实际读出时间
(Sequential Trigger Mode) Operation章节，表格Parameter List of Global Shutter中的tTGDLY)</t>
    <phoneticPr fontId="36" type="noConversion"/>
  </si>
  <si>
    <t>固定为7byte</t>
    <phoneticPr fontId="36" type="noConversion"/>
  </si>
  <si>
    <t>前导符</t>
    <phoneticPr fontId="36" type="noConversion"/>
  </si>
  <si>
    <t>preamble</t>
    <phoneticPr fontId="36" type="noConversion"/>
  </si>
  <si>
    <t>IF(ExposureTimeMode="Ultra Short",IF((exp_time+4))&gt;100us,(exp_time+4),100us),if((exp_time+4*tRow/1000))&gt;100us,(exp_time+4*tRow/1000),100us))</t>
    <phoneticPr fontId="36" type="noConversion"/>
  </si>
  <si>
    <t>极小曝光时，闪光灯维持时间至少比曝光时间要展宽4us；普通曝光时，闪光灯维持时间至少比曝光时间要展宽4个行周期</t>
    <phoneticPr fontId="36" type="noConversion"/>
  </si>
  <si>
    <t>触发延时</t>
    <phoneticPr fontId="36" type="noConversion"/>
  </si>
  <si>
    <t>Standard</t>
    <phoneticPr fontId="36" type="noConversion"/>
  </si>
  <si>
    <t>AcquisitionBurstMode</t>
    <phoneticPr fontId="36" type="noConversion"/>
  </si>
  <si>
    <t>突发采集模式</t>
    <phoneticPr fontId="36" type="noConversion"/>
  </si>
  <si>
    <t>Gige Vision参数</t>
    <phoneticPr fontId="36" type="noConversion"/>
  </si>
  <si>
    <t>IF(ExposureTimeMode="Ultra Short",ExposureDelay,ROUNDUP(((1000*ExposureDelay)/tRow),0))</t>
    <phoneticPr fontId="36" type="noConversion"/>
  </si>
  <si>
    <t>曝光延迟时间</t>
    <phoneticPr fontId="36" type="noConversion"/>
  </si>
  <si>
    <t>exp_delay_time</t>
    <phoneticPr fontId="36" type="noConversion"/>
  </si>
  <si>
    <t>TriggerMode</t>
    <phoneticPr fontId="36" type="noConversion"/>
  </si>
  <si>
    <t>触发模式</t>
    <phoneticPr fontId="36" type="noConversion"/>
  </si>
  <si>
    <t>KHz</t>
    <phoneticPr fontId="36" type="noConversion"/>
  </si>
  <si>
    <t>直接对应sensor映射表中的值</t>
    <phoneticPr fontId="36" type="noConversion"/>
  </si>
  <si>
    <t>IF(ExposureTimeMode="Ultra Short",IF(ExposureTime&gt;14,ROUNDUP((ExposureTime*1000-tOFFSET)/1000,0),1),MAX(ROUNDUP(((ExposureTime*1000-tOFFSET)/tRow),0),1))</t>
    <phoneticPr fontId="36" type="noConversion"/>
  </si>
  <si>
    <t>曝光信号实际长度</t>
    <phoneticPr fontId="36" type="noConversion"/>
  </si>
  <si>
    <t>xtrig_length</t>
    <phoneticPr fontId="36" type="noConversion"/>
  </si>
  <si>
    <t>ch</t>
    <phoneticPr fontId="36" type="noConversion"/>
  </si>
  <si>
    <t>数据通道处理通道数</t>
    <phoneticPr fontId="36" type="noConversion"/>
  </si>
  <si>
    <t>isp_ch_num</t>
    <phoneticPr fontId="36" type="noConversion"/>
  </si>
  <si>
    <t>sensor相关信息</t>
    <phoneticPr fontId="36" type="noConversion"/>
  </si>
  <si>
    <t>TriggerWidthLength</t>
    <phoneticPr fontId="36" type="noConversion"/>
  </si>
  <si>
    <t>TriggerWidth模式下触发信号长度（demo上没有此项设置，在调试时方便计算帧周期）</t>
    <phoneticPr fontId="36" type="noConversion"/>
  </si>
  <si>
    <t>sensor输出的宽度</t>
    <phoneticPr fontId="36" type="noConversion"/>
  </si>
  <si>
    <t>sensor_width_max</t>
    <phoneticPr fontId="36" type="noConversion"/>
  </si>
  <si>
    <r>
      <t xml:space="preserve">ddr_bandwidth_limit_period_time = </t>
    </r>
    <r>
      <rPr>
        <sz val="11"/>
        <color rgb="FFFF0000"/>
        <rFont val="微软雅黑"/>
        <family val="2"/>
        <charset val="134"/>
      </rPr>
      <t>10g_bandwidth_limit_period_time*10000/9040</t>
    </r>
    <r>
      <rPr>
        <sz val="11"/>
        <rFont val="微软雅黑"/>
        <family val="2"/>
        <charset val="134"/>
      </rPr>
      <t xml:space="preserve">
（MARS-533-134GTM-TN-SWIR型号由于帧存效率限制只能达到最大9.04G的传输带宽）
（自适应10G时需要计算，其他网速不限制）</t>
    </r>
    <phoneticPr fontId="36" type="noConversion"/>
  </si>
  <si>
    <t>ddr读写带宽限制帧周期</t>
    <phoneticPr fontId="36" type="noConversion"/>
  </si>
  <si>
    <t>ExposureDelay</t>
    <phoneticPr fontId="36" type="noConversion"/>
  </si>
  <si>
    <t>曝光延迟</t>
    <phoneticPr fontId="36" type="noConversion"/>
  </si>
  <si>
    <t>每路sensor串行差分时钟对应的通道数</t>
    <phoneticPr fontId="36" type="noConversion"/>
  </si>
  <si>
    <t>phy_ch_num</t>
    <phoneticPr fontId="36" type="noConversion"/>
  </si>
  <si>
    <t>10g接口带宽限制帧周期</t>
    <phoneticPr fontId="36" type="noConversion"/>
  </si>
  <si>
    <t>ExposureTime</t>
    <phoneticPr fontId="36" type="noConversion"/>
  </si>
  <si>
    <t>曝光时间</t>
    <phoneticPr fontId="36" type="noConversion"/>
  </si>
  <si>
    <t>phy_num</t>
    <phoneticPr fontId="36" type="noConversion"/>
  </si>
  <si>
    <r>
      <t xml:space="preserve">bandwidth_limit_period_time
</t>
    </r>
    <r>
      <rPr>
        <sz val="11"/>
        <color rgb="FFFF0000"/>
        <rFont val="微软雅黑"/>
        <family val="2"/>
        <charset val="134"/>
      </rPr>
      <t>= max(10g_bandwidth_limit_period_time,ddr_bandwidth_limit_period_time)</t>
    </r>
    <r>
      <rPr>
        <sz val="11"/>
        <rFont val="微软雅黑"/>
        <family val="2"/>
        <charset val="134"/>
      </rPr>
      <t xml:space="preserve">
（在突发采集“standard”时，不考虑预留带宽,考虑满带宽;
在突发采集“highspeed”时，不考虑带宽）</t>
    </r>
    <phoneticPr fontId="36" type="noConversion"/>
  </si>
  <si>
    <t>带宽限制帧周期</t>
    <phoneticPr fontId="36" type="noConversion"/>
  </si>
  <si>
    <t>tp_limit_period_time</t>
    <phoneticPr fontId="36" type="noConversion"/>
  </si>
  <si>
    <t>ExposureTimeMode</t>
    <phoneticPr fontId="36" type="noConversion"/>
  </si>
  <si>
    <t>曝光时间模式</t>
    <phoneticPr fontId="36" type="noConversion"/>
  </si>
  <si>
    <t>曝光时间误差(手册Global Shutter (Sequential Trigger Mode) Operation章节，Exposuretime[s]公式最后一个参数)</t>
    <phoneticPr fontId="36" type="noConversion"/>
  </si>
  <si>
    <t>tOFFSET</t>
    <phoneticPr fontId="36" type="noConversion"/>
  </si>
  <si>
    <t>ExposureOverlapTimeMax</t>
    <phoneticPr fontId="36" type="noConversion"/>
  </si>
  <si>
    <t>两次曝光间隔最小值(手册Global Shutter (Sequential Trigger Mode) Operation章节，表格Parameter List of Global Shutter中的tTGES+1)</t>
    <phoneticPr fontId="36" type="noConversion"/>
  </si>
  <si>
    <t>ExpIntMin</t>
    <phoneticPr fontId="36" type="noConversion"/>
  </si>
  <si>
    <t>IF(ExposureTimeMode="Ultra Short",xtrig_length+exp_delay_time+readout_time+20,exp_line_num+exp_delay_time+ExpIntMin)</t>
    <phoneticPr fontId="36" type="noConversion"/>
  </si>
  <si>
    <t>曝光时间决定的帧周期</t>
    <phoneticPr fontId="36" type="noConversion"/>
  </si>
  <si>
    <t>exp_period_time</t>
    <phoneticPr fontId="36" type="noConversion"/>
  </si>
  <si>
    <t>Timed</t>
    <phoneticPr fontId="36" type="noConversion"/>
  </si>
  <si>
    <t>ExposureMode</t>
    <phoneticPr fontId="36" type="noConversion"/>
  </si>
  <si>
    <t>曝光模式</t>
    <phoneticPr fontId="36" type="noConversion"/>
  </si>
  <si>
    <r>
      <t>最小帧消隐行数(手册Global Shutter (Sequential Trigger Mode) Operation章节，V</t>
    </r>
    <r>
      <rPr>
        <sz val="9"/>
        <color theme="1"/>
        <rFont val="微软雅黑"/>
        <family val="2"/>
        <charset val="134"/>
      </rPr>
      <t>TR公式</t>
    </r>
    <r>
      <rPr>
        <sz val="11"/>
        <color theme="1"/>
        <rFont val="微软雅黑"/>
        <family val="2"/>
        <charset val="134"/>
      </rPr>
      <t>最后一个参数)</t>
    </r>
    <phoneticPr fontId="36" type="noConversion"/>
  </si>
  <si>
    <t>VBmin</t>
    <phoneticPr fontId="36" type="noConversion"/>
  </si>
  <si>
    <t>IF(ExposureTimeMode="Ultra Short",ROUNDUP((Height+Vbmin+2)*tRow/1000,0),IF(交叠，Height+Vbmin+exp_period_time,Height+Vbmin))</t>
    <phoneticPr fontId="37" type="noConversion"/>
  </si>
  <si>
    <t>读出时间决定的帧周期</t>
    <phoneticPr fontId="36" type="noConversion"/>
  </si>
  <si>
    <t>readout_period_time</t>
    <phoneticPr fontId="36" type="noConversion"/>
  </si>
  <si>
    <t>0（默认交叠曝光）</t>
    <phoneticPr fontId="36" type="noConversion"/>
  </si>
  <si>
    <t>Non-overlapping exposure</t>
    <phoneticPr fontId="36" type="noConversion"/>
  </si>
  <si>
    <t>非交叠曝光模式</t>
    <phoneticPr fontId="36" type="noConversion"/>
  </si>
  <si>
    <t>每行宽度(手册Readout Drive Modes章节，见表格，All pixel模式)</t>
    <phoneticPr fontId="36" type="noConversion"/>
  </si>
  <si>
    <t>hmax</t>
    <phoneticPr fontId="36" type="noConversion"/>
  </si>
  <si>
    <t>决定帧周期的四个变量</t>
    <phoneticPr fontId="36" type="noConversion"/>
  </si>
  <si>
    <t>margin_y</t>
    <phoneticPr fontId="36" type="noConversion"/>
  </si>
  <si>
    <t>1000000/tFrame</t>
    <phoneticPr fontId="36" type="noConversion"/>
  </si>
  <si>
    <t>帧率</t>
    <phoneticPr fontId="36" type="noConversion"/>
  </si>
  <si>
    <t>fFrame</t>
    <phoneticPr fontId="36" type="noConversion"/>
  </si>
  <si>
    <t xml:space="preserve">PixelBitDepth </t>
    <phoneticPr fontId="36" type="noConversion"/>
  </si>
  <si>
    <t>有效像素边界
(手册Pixel Arrangement章节，图示)</t>
    <phoneticPr fontId="36" type="noConversion"/>
  </si>
  <si>
    <t>margin_x</t>
    <phoneticPr fontId="36" type="noConversion"/>
  </si>
  <si>
    <t>IF(ExposureTimeMode="Ultra Short",MAX(readout_period_time,exp_period_time,fps_limit_period_time,tp_limit_period_time),IF(ExposureMode="TriggerWidth",ROUNDUP(MAX(readout_period_time,exp_period_triggerwidth,fps_limit_period_time)*J6/1000,0),ROUNDUP(MAX(readout_period_time,exp_period_time,fps_limit_period_time)*J6/1000,0)))</t>
    <phoneticPr fontId="36" type="noConversion"/>
  </si>
  <si>
    <t>帧周期</t>
    <phoneticPr fontId="36" type="noConversion"/>
  </si>
  <si>
    <t>tFrame</t>
    <phoneticPr fontId="36" type="noConversion"/>
  </si>
  <si>
    <t>PixelFormat</t>
    <phoneticPr fontId="36" type="noConversion"/>
  </si>
  <si>
    <t>像素格式(8/10/12)</t>
    <phoneticPr fontId="36" type="noConversion"/>
  </si>
  <si>
    <t>10GIGE</t>
    <phoneticPr fontId="36" type="noConversion"/>
  </si>
  <si>
    <t>IMX993</t>
    <phoneticPr fontId="36" type="noConversion"/>
  </si>
  <si>
    <t>MARS-321-176GTM-TN-SWIR</t>
    <phoneticPr fontId="36" type="noConversion"/>
  </si>
  <si>
    <t>37.125 or 54 or 74.25 抖动幅度0.96~1.02</t>
    <phoneticPr fontId="36" type="noConversion"/>
  </si>
  <si>
    <t>Sensor输入时钟频率
(手册第一页Features Input frequency)</t>
    <phoneticPr fontId="36" type="noConversion"/>
  </si>
  <si>
    <t>ROUNDUP(1000000*hmax/Finck),0)</t>
    <phoneticPr fontId="36" type="noConversion"/>
  </si>
  <si>
    <t>行周期</t>
    <phoneticPr fontId="36" type="noConversion"/>
  </si>
  <si>
    <t>tRow</t>
    <phoneticPr fontId="36" type="noConversion"/>
  </si>
  <si>
    <t>像素格式</t>
    <phoneticPr fontId="36" type="noConversion"/>
  </si>
  <si>
    <t>IMX992</t>
    <phoneticPr fontId="36" type="noConversion"/>
  </si>
  <si>
    <t>MARS-533-134GTM-TN-SWIR</t>
    <phoneticPr fontId="36" type="noConversion"/>
  </si>
  <si>
    <t>用户值</t>
    <phoneticPr fontId="36" type="noConversion"/>
  </si>
  <si>
    <t>默认值</t>
    <phoneticPr fontId="36" type="noConversion"/>
  </si>
  <si>
    <t>parameter</t>
    <phoneticPr fontId="36" type="noConversion"/>
  </si>
  <si>
    <t>23.gtx Clock</t>
    <phoneticPr fontId="36" type="noConversion"/>
  </si>
  <si>
    <t>22.Pix Clock</t>
    <phoneticPr fontId="36" type="noConversion"/>
  </si>
  <si>
    <t>21.isp_ch_num</t>
    <phoneticPr fontId="36" type="noConversion"/>
  </si>
  <si>
    <t>20.PixelFormat</t>
    <phoneticPr fontId="36" type="noConversion"/>
  </si>
  <si>
    <t>19.Default FrameRate</t>
    <phoneticPr fontId="36" type="noConversion"/>
  </si>
  <si>
    <t>18.Default ExposureTime</t>
    <phoneticPr fontId="36" type="noConversion"/>
  </si>
  <si>
    <t>17.tTGDLY</t>
    <phoneticPr fontId="36" type="noConversion"/>
  </si>
  <si>
    <t>16.tOFFSET</t>
    <phoneticPr fontId="36" type="noConversion"/>
  </si>
  <si>
    <t>15.ExpIntMin</t>
    <phoneticPr fontId="36" type="noConversion"/>
  </si>
  <si>
    <t>14.VBmin</t>
    <phoneticPr fontId="36" type="noConversion"/>
  </si>
  <si>
    <t>13.hmax</t>
    <phoneticPr fontId="36" type="noConversion"/>
  </si>
  <si>
    <t>12.sensor_height_max</t>
    <phoneticPr fontId="36" type="noConversion"/>
  </si>
  <si>
    <t>11.sensor_width_max</t>
    <phoneticPr fontId="36" type="noConversion"/>
  </si>
  <si>
    <t>10.sensor_height_min</t>
    <phoneticPr fontId="36" type="noConversion"/>
  </si>
  <si>
    <t>9.sensor_width_min</t>
    <phoneticPr fontId="36" type="noConversion"/>
  </si>
  <si>
    <t>8.margin_y</t>
    <phoneticPr fontId="36" type="noConversion"/>
  </si>
  <si>
    <t>7.margin_x</t>
    <phoneticPr fontId="36" type="noConversion"/>
  </si>
  <si>
    <t>6.phy ch num</t>
    <phoneticPr fontId="36" type="noConversion"/>
  </si>
  <si>
    <t>5.phy num</t>
    <phoneticPr fontId="36" type="noConversion"/>
  </si>
  <si>
    <t xml:space="preserve">4.Master Clock </t>
    <phoneticPr fontId="36" type="noConversion"/>
  </si>
  <si>
    <t>3.port</t>
    <phoneticPr fontId="36" type="noConversion"/>
  </si>
  <si>
    <t>2.sensor</t>
    <phoneticPr fontId="36" type="noConversion"/>
  </si>
  <si>
    <t>1.camera_model</t>
    <phoneticPr fontId="36" type="noConversion"/>
  </si>
  <si>
    <t>sensor固定参数</t>
    <phoneticPr fontId="36" type="noConversion"/>
  </si>
  <si>
    <t>计算值</t>
    <phoneticPr fontId="36" type="noConversion"/>
  </si>
  <si>
    <t>参数输入</t>
    <phoneticPr fontId="36" type="noConversion"/>
  </si>
  <si>
    <t>映射关系表（绝大多数应用于本表格的公式计算，还有一些关联fpga工程中的宏定义）</t>
    <phoneticPr fontId="36" type="noConversion"/>
  </si>
  <si>
    <t>计算过程</t>
    <phoneticPr fontId="36" type="noConversion"/>
  </si>
  <si>
    <t>计算结果</t>
    <phoneticPr fontId="36" type="noConversion"/>
  </si>
  <si>
    <t>camera_model</t>
    <phoneticPr fontId="36" type="noConversion"/>
  </si>
  <si>
    <t>相机型号</t>
    <phoneticPr fontId="36" type="noConversion"/>
  </si>
  <si>
    <t>FPGA平台</t>
    <phoneticPr fontId="36" type="noConversion"/>
  </si>
  <si>
    <t>fpga_platform</t>
    <phoneticPr fontId="36" type="noConversion"/>
  </si>
  <si>
    <t>FPS</t>
    <phoneticPr fontId="36" type="noConversion"/>
  </si>
  <si>
    <t>SensorBitDepth</t>
    <phoneticPr fontId="36" type="noConversion"/>
  </si>
  <si>
    <t>SensorDecimation</t>
    <phoneticPr fontId="36" type="noConversion"/>
  </si>
  <si>
    <t>BinningVertical</t>
    <phoneticPr fontId="36" type="noConversion"/>
  </si>
  <si>
    <t>Parameter input：</t>
    <phoneticPr fontId="36" type="noConversion"/>
  </si>
  <si>
    <t>Standard</t>
    <phoneticPr fontId="36" type="noConversion"/>
  </si>
  <si>
    <t>Standard</t>
    <phoneticPr fontId="36" type="noConversion"/>
  </si>
  <si>
    <t>Standard</t>
    <phoneticPr fontId="36" type="noConversion"/>
  </si>
  <si>
    <t>Standard</t>
    <phoneticPr fontId="36" type="noConversion"/>
  </si>
  <si>
    <t>The current parameter is not within the range:[16,'WidthMax'], please enter again</t>
    <phoneticPr fontId="36" type="noConversion"/>
  </si>
  <si>
    <t>The current parameter is not within the range:[4,'HeightMax'], please enter again</t>
    <phoneticPr fontId="36" type="noConversion"/>
  </si>
  <si>
    <t>MARS-280-409GTC/MARS-280-409GTM</t>
  </si>
  <si>
    <t>MARS-280-409GTM</t>
  </si>
  <si>
    <t>PixelFormat(8/10/12/RGB8/packed12)</t>
  </si>
  <si>
    <t>SensorBitDepth(8/10/12)</t>
  </si>
  <si>
    <t>BPP12</t>
  </si>
  <si>
    <t>当前参数不在范围8~图像高度最大值内，请重新输入</t>
  </si>
  <si>
    <t>mars-280</t>
  </si>
  <si>
    <t>颜色</t>
  </si>
  <si>
    <t>黑白</t>
  </si>
  <si>
    <t>28.tTGPD_rem（ultra_short）</t>
  </si>
  <si>
    <t>29.HMAX(75MHz)</t>
  </si>
  <si>
    <t>IMX421</t>
  </si>
  <si>
    <t>mars-170</t>
  </si>
  <si>
    <t>IMX425</t>
  </si>
  <si>
    <t>HMAX</t>
  </si>
  <si>
    <t>极小曝光模式时的sensorHMAX值，用于计算极小曝光模式下的行周期和帧周期</t>
  </si>
  <si>
    <t>参考手册中Global Shutter (Sequential Trigger Mode) Operation章节，表格Parameter List of Global Shutter中的tTGDLY</t>
  </si>
  <si>
    <t>tTGPD_rem（ultra_short）</t>
  </si>
  <si>
    <t>极小曝光模式，下一次触发上升/下降禁止期公式尾数(手册Global Shutter (Fast Trigger Mode) Operation章节，表格Parameter List of Global Shutter中的tTGPD公式中VMAX加的参数值)</t>
  </si>
  <si>
    <t>xtrig_length+exp_delay_time+readout_time+ROUNDUP(tOFFSET/1000,0)+ROUNDUP(tTGPD_rem*tRow/1000,0)</t>
  </si>
  <si>
    <t>xtrig_length+exp_delay_time+ExplntMin</t>
  </si>
  <si>
    <t>MARS-170-662GTC/MARS-170-662GTM</t>
  </si>
  <si>
    <t>MARS-170-662GTM</t>
  </si>
  <si>
    <t>当前参数不在范围4~图像宽度最大值内，请重新输入</t>
  </si>
  <si>
    <t>1.0.9</t>
  </si>
  <si>
    <t>add MARS-280-409GTX
add MARS-170-662GTX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</si>
</sst>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0_);[Red]\(0.00\)"/>
  </numFmts>
  <fonts count="43">
    <font>
      <sz val="11"/>
      <color theme="1"/>
      <name val="宋体"/>
      <charset val="134"/>
      <scheme val="minor"/>
    </font>
    <font>
      <sz val="11"/>
      <color theme="1"/>
      <name val="等线"/>
      <family val="3"/>
      <charset val="134"/>
    </font>
    <font>
      <b/>
      <sz val="11"/>
      <color rgb="FFFFFF00"/>
      <name val="宋体"/>
      <family val="3"/>
      <charset val="134"/>
      <scheme val="minor"/>
    </font>
    <font>
      <sz val="11"/>
      <color rgb="FFFFFF00"/>
      <name val="等线"/>
      <family val="3"/>
      <charset val="134"/>
    </font>
    <font>
      <sz val="11"/>
      <name val="等线"/>
      <family val="3"/>
      <charset val="134"/>
    </font>
    <font>
      <sz val="11"/>
      <color rgb="FFFF0000"/>
      <name val="等线"/>
      <family val="3"/>
      <charset val="134"/>
    </font>
    <font>
      <sz val="11"/>
      <color rgb="FFFF0000"/>
      <name val="宋体"/>
      <family val="3"/>
      <charset val="134"/>
      <scheme val="minor"/>
    </font>
    <font>
      <sz val="11"/>
      <name val="宋体"/>
      <family val="3"/>
      <charset val="134"/>
      <scheme val="minor"/>
    </font>
    <font>
      <b/>
      <sz val="20"/>
      <color theme="0"/>
      <name val="等线"/>
      <family val="3"/>
      <charset val="134"/>
    </font>
    <font>
      <b/>
      <sz val="18"/>
      <color theme="0"/>
      <name val="等线"/>
      <family val="3"/>
      <charset val="134"/>
    </font>
    <font>
      <b/>
      <sz val="11"/>
      <color rgb="FFFFFF00"/>
      <name val="宋体"/>
      <family val="3"/>
      <charset val="134"/>
      <scheme val="minor"/>
    </font>
    <font>
      <sz val="11"/>
      <color theme="1"/>
      <name val="等线"/>
      <family val="3"/>
      <charset val="134"/>
    </font>
    <font>
      <sz val="11"/>
      <color rgb="FFFFFF00"/>
      <name val="等线"/>
      <family val="3"/>
      <charset val="134"/>
    </font>
    <font>
      <sz val="11"/>
      <name val="等线"/>
      <family val="3"/>
      <charset val="134"/>
    </font>
    <font>
      <sz val="11"/>
      <color rgb="FFFF0000"/>
      <name val="等线"/>
      <family val="3"/>
      <charset val="134"/>
    </font>
    <font>
      <sz val="11"/>
      <color rgb="FFFF0000"/>
      <name val="宋体"/>
      <family val="3"/>
      <charset val="134"/>
      <scheme val="minor"/>
    </font>
    <font>
      <sz val="11"/>
      <name val="宋体"/>
      <family val="3"/>
      <charset val="134"/>
      <scheme val="minor"/>
    </font>
    <font>
      <b/>
      <sz val="20"/>
      <color theme="0"/>
      <name val="等线"/>
      <family val="3"/>
      <charset val="134"/>
    </font>
    <font>
      <b/>
      <sz val="18"/>
      <color theme="0"/>
      <name val="等线"/>
      <family val="3"/>
      <charset val="134"/>
    </font>
    <font>
      <sz val="28"/>
      <color theme="1"/>
      <name val="宋体"/>
      <family val="3"/>
      <charset val="134"/>
      <scheme val="minor"/>
    </font>
    <font>
      <sz val="26"/>
      <color theme="1"/>
      <name val="宋体"/>
      <family val="3"/>
      <charset val="134"/>
      <scheme val="minor"/>
    </font>
    <font>
      <b/>
      <sz val="11"/>
      <name val="宋体"/>
      <family val="3"/>
      <charset val="134"/>
      <scheme val="minor"/>
    </font>
    <font>
      <sz val="11"/>
      <color theme="1"/>
      <name val="宋体"/>
      <family val="3"/>
      <charset val="134"/>
      <scheme val="minor"/>
    </font>
    <font>
      <sz val="11"/>
      <color theme="1"/>
      <name val="微软雅黑"/>
      <family val="2"/>
      <charset val="134"/>
    </font>
    <font>
      <sz val="11"/>
      <color rgb="FFFFFF00"/>
      <name val="微软雅黑"/>
      <family val="2"/>
      <charset val="134"/>
    </font>
    <font>
      <sz val="11"/>
      <name val="微软雅黑"/>
      <family val="2"/>
      <charset val="134"/>
    </font>
    <font>
      <sz val="11"/>
      <color rgb="FFFF0000"/>
      <name val="微软雅黑"/>
      <family val="2"/>
      <charset val="134"/>
    </font>
    <font>
      <b/>
      <sz val="11"/>
      <color theme="0"/>
      <name val="微软雅黑"/>
      <family val="2"/>
      <charset val="134"/>
    </font>
    <font>
      <b/>
      <sz val="11"/>
      <color theme="0"/>
      <name val="等线"/>
      <family val="3"/>
      <charset val="134"/>
    </font>
    <font>
      <b/>
      <sz val="12"/>
      <color theme="1"/>
      <name val="宋体"/>
      <family val="3"/>
      <charset val="134"/>
      <scheme val="minor"/>
    </font>
    <font>
      <sz val="12"/>
      <name val="宋体"/>
      <family val="3"/>
      <charset val="134"/>
    </font>
    <font>
      <b/>
      <sz val="11"/>
      <color theme="1"/>
      <name val="微软雅黑"/>
      <family val="2"/>
      <charset val="134"/>
    </font>
    <font>
      <b/>
      <sz val="11"/>
      <name val="微软雅黑"/>
      <family val="2"/>
      <charset val="134"/>
    </font>
    <font>
      <b/>
      <sz val="9"/>
      <name val="宋体"/>
      <family val="3"/>
      <charset val="134"/>
    </font>
    <font>
      <sz val="9"/>
      <name val="宋体"/>
      <family val="3"/>
      <charset val="134"/>
    </font>
    <font>
      <b/>
      <sz val="12"/>
      <name val="宋体"/>
      <family val="3"/>
      <charset val="134"/>
    </font>
    <font>
      <sz val="9"/>
      <name val="宋体"/>
      <family val="3"/>
      <charset val="134"/>
      <scheme val="minor"/>
    </font>
    <font>
      <sz val="9"/>
      <name val="宋体"/>
      <family val="2"/>
      <charset val="134"/>
      <scheme val="minor"/>
    </font>
    <font>
      <sz val="9"/>
      <color theme="1"/>
      <name val="微软雅黑"/>
      <family val="2"/>
      <charset val="134"/>
    </font>
    <font>
      <sz val="11"/>
      <color rgb="FFFF0000"/>
      <name val="宋体"/>
      <family val="2"/>
      <scheme val="minor"/>
    </font>
    <font>
      <b/>
      <sz val="18"/>
      <color theme="0"/>
      <name val="微软雅黑"/>
      <family val="2"/>
      <charset val="134"/>
    </font>
    <font>
      <b/>
      <sz val="9"/>
      <color indexed="81"/>
      <name val="宋体"/>
      <family val="3"/>
      <charset val="134"/>
    </font>
    <font>
      <sz val="9"/>
      <color indexed="81"/>
      <name val="宋体"/>
      <family val="3"/>
      <charset val="134"/>
    </font>
  </fonts>
  <fills count="40">
    <fill>
      <patternFill patternType="none"/>
    </fill>
    <fill>
      <patternFill patternType="gray125"/>
    </fill>
    <fill>
      <patternFill patternType="solid">
        <fgColor theme="3" tint="0.59999389629810485"/>
        <bgColor indexed="64"/>
      </patternFill>
    </fill>
    <fill>
      <patternFill patternType="solid">
        <fgColor theme="7" tint="-0.249977111117893"/>
        <bgColor indexed="64"/>
      </patternFill>
    </fill>
    <fill>
      <patternFill patternType="solid">
        <fgColor theme="5"/>
        <bgColor indexed="64"/>
      </patternFill>
    </fill>
    <fill>
      <patternFill patternType="solid">
        <fgColor theme="3" tint="0.39991454817346722"/>
        <bgColor indexed="64"/>
      </patternFill>
    </fill>
    <fill>
      <patternFill patternType="solid">
        <fgColor theme="8" tint="0.39988402966399123"/>
        <bgColor indexed="64"/>
      </patternFill>
    </fill>
    <fill>
      <patternFill patternType="solid">
        <fgColor theme="5" tint="0.39991454817346722"/>
        <bgColor indexed="64"/>
      </patternFill>
    </fill>
    <fill>
      <patternFill patternType="solid">
        <fgColor theme="0"/>
        <bgColor indexed="64"/>
      </patternFill>
    </fill>
    <fill>
      <patternFill patternType="solid">
        <fgColor theme="5" tint="0.39994506668294322"/>
        <bgColor indexed="64"/>
      </patternFill>
    </fill>
    <fill>
      <patternFill patternType="solid">
        <fgColor theme="8" tint="0.39991454817346722"/>
        <bgColor indexed="64"/>
      </patternFill>
    </fill>
    <fill>
      <patternFill patternType="solid">
        <fgColor theme="7" tint="0.39991454817346722"/>
        <bgColor indexed="64"/>
      </patternFill>
    </fill>
    <fill>
      <patternFill patternType="solid">
        <fgColor theme="7" tint="0.39994506668294322"/>
        <bgColor indexed="64"/>
      </patternFill>
    </fill>
    <fill>
      <patternFill patternType="solid">
        <fgColor rgb="FF00B050"/>
        <bgColor indexed="64"/>
      </patternFill>
    </fill>
    <fill>
      <patternFill patternType="solid">
        <fgColor rgb="FFFFFF00"/>
        <bgColor indexed="64"/>
      </patternFill>
    </fill>
    <fill>
      <patternFill patternType="solid">
        <fgColor theme="6" tint="0.39991454817346722"/>
        <bgColor indexed="64"/>
      </patternFill>
    </fill>
    <fill>
      <patternFill patternType="solid">
        <fgColor theme="6" tint="0.39994506668294322"/>
        <bgColor indexed="64"/>
      </patternFill>
    </fill>
    <fill>
      <patternFill patternType="solid">
        <fgColor theme="6" tint="-0.249977111117893"/>
        <bgColor indexed="64"/>
      </patternFill>
    </fill>
    <fill>
      <patternFill patternType="solid">
        <fgColor theme="3" tint="0.59999389629810485"/>
        <bgColor indexed="64"/>
      </patternFill>
    </fill>
    <fill>
      <patternFill patternType="solid">
        <fgColor theme="3" tint="0.39988402966399123"/>
        <bgColor indexed="64"/>
      </patternFill>
    </fill>
    <fill>
      <patternFill patternType="solid">
        <fgColor theme="8" tint="0.39985351115451523"/>
        <bgColor indexed="64"/>
      </patternFill>
    </fill>
    <fill>
      <patternFill patternType="solid">
        <fgColor theme="5" tint="0.39988402966399123"/>
        <bgColor indexed="64"/>
      </patternFill>
    </fill>
    <fill>
      <patternFill patternType="solid">
        <fgColor theme="5" tint="0.39991454817346722"/>
        <bgColor indexed="64"/>
      </patternFill>
    </fill>
    <fill>
      <patternFill patternType="solid">
        <fgColor theme="8" tint="0.39988402966399123"/>
        <bgColor indexed="64"/>
      </patternFill>
    </fill>
    <fill>
      <patternFill patternType="solid">
        <fgColor theme="7" tint="0.39988402966399123"/>
        <bgColor indexed="64"/>
      </patternFill>
    </fill>
    <fill>
      <patternFill patternType="solid">
        <fgColor theme="7" tint="0.39991454817346722"/>
        <bgColor indexed="64"/>
      </patternFill>
    </fill>
    <fill>
      <patternFill patternType="solid">
        <fgColor theme="6" tint="0.39988402966399123"/>
        <bgColor indexed="64"/>
      </patternFill>
    </fill>
    <fill>
      <patternFill patternType="solid">
        <fgColor theme="6" tint="0.39991454817346722"/>
        <bgColor indexed="64"/>
      </patternFill>
    </fill>
    <fill>
      <patternFill patternType="solid">
        <fgColor rgb="FFFF77EC"/>
        <bgColor indexed="64"/>
      </patternFill>
    </fill>
    <fill>
      <patternFill patternType="solid">
        <fgColor theme="9" tint="0.59999389629810485"/>
        <bgColor indexed="64"/>
      </patternFill>
    </fill>
    <fill>
      <patternFill patternType="solid">
        <fgColor theme="3" tint="0.39991454817346722"/>
        <bgColor indexed="64"/>
      </patternFill>
    </fill>
    <fill>
      <patternFill patternType="solid">
        <fgColor rgb="FFFF0000"/>
        <bgColor indexed="64"/>
      </patternFill>
    </fill>
    <fill>
      <patternFill patternType="solid">
        <fgColor rgb="FF00B0F0"/>
        <bgColor indexed="64"/>
      </patternFill>
    </fill>
    <fill>
      <patternFill patternType="solid">
        <fgColor theme="3" tint="0.39997558519241921"/>
        <bgColor indexed="64"/>
      </patternFill>
    </fill>
    <fill>
      <patternFill patternType="solid">
        <fgColor theme="8" tint="0.39994506668294322"/>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rgb="FFACB9CA"/>
        <bgColor indexed="64"/>
      </patternFill>
    </fill>
  </fills>
  <borders count="6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diagonal/>
    </border>
    <border>
      <left style="thin">
        <color auto="1"/>
      </left>
      <right style="medium">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right style="thin">
        <color auto="1"/>
      </right>
      <top style="medium">
        <color indexed="64"/>
      </top>
      <bottom/>
      <diagonal/>
    </border>
    <border>
      <left/>
      <right style="medium">
        <color indexed="64"/>
      </right>
      <top style="medium">
        <color indexed="64"/>
      </top>
      <bottom/>
      <diagonal/>
    </border>
    <border>
      <left style="thin">
        <color auto="1"/>
      </left>
      <right/>
      <top style="medium">
        <color indexed="64"/>
      </top>
      <bottom style="thin">
        <color auto="1"/>
      </bottom>
      <diagonal/>
    </border>
    <border>
      <left style="medium">
        <color indexed="64"/>
      </left>
      <right/>
      <top style="thin">
        <color auto="1"/>
      </top>
      <bottom style="thin">
        <color auto="1"/>
      </bottom>
      <diagonal/>
    </border>
  </borders>
  <cellStyleXfs count="12">
    <xf numFmtId="0" fontId="0" fillId="0" borderId="0">
      <alignment vertical="center"/>
    </xf>
    <xf numFmtId="0" fontId="22" fillId="0" borderId="0">
      <alignment vertical="center"/>
    </xf>
    <xf numFmtId="0" fontId="30" fillId="0" borderId="0">
      <alignment vertical="center"/>
    </xf>
    <xf numFmtId="0" fontId="22" fillId="0" borderId="0">
      <alignment vertical="center"/>
    </xf>
    <xf numFmtId="0" fontId="22" fillId="0" borderId="0"/>
    <xf numFmtId="0" fontId="22" fillId="0" borderId="0"/>
    <xf numFmtId="0" fontId="22" fillId="0" borderId="0">
      <alignment vertical="center"/>
    </xf>
    <xf numFmtId="0" fontId="22" fillId="0" borderId="0"/>
    <xf numFmtId="0" fontId="22" fillId="0" borderId="0"/>
    <xf numFmtId="0" fontId="22" fillId="0" borderId="0">
      <alignment vertical="center"/>
    </xf>
    <xf numFmtId="0" fontId="22" fillId="0" borderId="0">
      <alignment vertical="center"/>
    </xf>
    <xf numFmtId="0" fontId="22" fillId="0" borderId="0">
      <alignment vertical="center"/>
    </xf>
  </cellStyleXfs>
  <cellXfs count="1360">
    <xf numFmtId="0" fontId="0" fillId="0" borderId="0" xfId="0">
      <alignment vertical="center"/>
    </xf>
    <xf numFmtId="0" fontId="1" fillId="0" borderId="0" xfId="0" applyFont="1" applyFill="1" applyAlignment="1"/>
    <xf numFmtId="0" fontId="1" fillId="0" borderId="0" xfId="0" applyFont="1" applyAlignment="1"/>
    <xf numFmtId="0" fontId="2" fillId="2" borderId="1" xfId="10" applyFont="1" applyFill="1" applyBorder="1" applyAlignment="1">
      <alignment horizontal="left" vertical="center" wrapText="1"/>
    </xf>
    <xf numFmtId="0" fontId="2" fillId="2" borderId="1" xfId="10" applyFont="1" applyFill="1" applyBorder="1" applyAlignment="1" applyProtection="1">
      <alignment horizontal="left" vertical="center" wrapText="1"/>
      <protection locked="0"/>
    </xf>
    <xf numFmtId="0" fontId="3" fillId="3" borderId="2" xfId="0" applyFont="1" applyFill="1" applyBorder="1" applyAlignment="1">
      <alignment vertical="center" wrapText="1"/>
    </xf>
    <xf numFmtId="0" fontId="3" fillId="4" borderId="2" xfId="0" applyFont="1" applyFill="1" applyBorder="1" applyAlignment="1">
      <alignment horizontal="left" vertical="center" wrapText="1"/>
    </xf>
    <xf numFmtId="0" fontId="1" fillId="0" borderId="0" xfId="0" applyFont="1" applyFill="1" applyAlignment="1">
      <alignment wrapText="1"/>
    </xf>
    <xf numFmtId="0" fontId="1" fillId="6" borderId="3"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7" borderId="7" xfId="0" applyFont="1" applyFill="1" applyBorder="1" applyAlignment="1">
      <alignment horizontal="left" vertical="center" wrapText="1"/>
    </xf>
    <xf numFmtId="0" fontId="1" fillId="8"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9" borderId="10" xfId="0" applyFont="1" applyFill="1" applyBorder="1" applyAlignment="1">
      <alignment horizontal="left" vertical="center" wrapText="1"/>
    </xf>
    <xf numFmtId="0" fontId="4" fillId="8" borderId="11" xfId="0" applyFont="1" applyFill="1" applyBorder="1" applyAlignment="1">
      <alignment horizontal="left" vertical="center" wrapText="1"/>
    </xf>
    <xf numFmtId="0" fontId="0" fillId="0" borderId="0" xfId="0" applyFill="1" applyAlignment="1"/>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7" borderId="13" xfId="0" applyFont="1" applyFill="1" applyBorder="1" applyAlignment="1">
      <alignment horizontal="left" vertical="center" wrapText="1"/>
    </xf>
    <xf numFmtId="0" fontId="4" fillId="8" borderId="1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9" borderId="1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9" borderId="1" xfId="0" applyFont="1" applyFill="1" applyBorder="1" applyAlignment="1">
      <alignment horizontal="left" vertical="center" wrapText="1"/>
    </xf>
    <xf numFmtId="0" fontId="1" fillId="8" borderId="21" xfId="0" applyFont="1" applyFill="1" applyBorder="1" applyAlignment="1">
      <alignment horizontal="left" vertical="center" wrapText="1"/>
    </xf>
    <xf numFmtId="0" fontId="1" fillId="9" borderId="7"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1" fillId="7" borderId="10" xfId="0" applyFont="1" applyFill="1" applyBorder="1" applyAlignment="1">
      <alignment horizontal="left" vertical="center" wrapText="1"/>
    </xf>
    <xf numFmtId="0" fontId="1" fillId="8" borderId="11"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7" borderId="13"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7" xfId="0" applyFont="1" applyFill="1" applyBorder="1" applyAlignment="1">
      <alignment horizontal="left" vertical="center"/>
    </xf>
    <xf numFmtId="0" fontId="4" fillId="7" borderId="7" xfId="0" applyFont="1" applyFill="1" applyBorder="1" applyAlignment="1">
      <alignment horizontal="left" vertical="center" wrapText="1"/>
    </xf>
    <xf numFmtId="0" fontId="4" fillId="8" borderId="8"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7" xfId="0" applyFont="1" applyFill="1" applyBorder="1" applyAlignment="1">
      <alignment horizontal="left" vertical="center"/>
    </xf>
    <xf numFmtId="0" fontId="5" fillId="7" borderId="7" xfId="0" applyFont="1" applyFill="1" applyBorder="1" applyAlignment="1">
      <alignment horizontal="left" vertical="center" wrapText="1"/>
    </xf>
    <xf numFmtId="0" fontId="5" fillId="8"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0" xfId="0" applyFont="1" applyFill="1" applyBorder="1" applyAlignment="1">
      <alignment horizontal="left" vertical="center"/>
    </xf>
    <xf numFmtId="0" fontId="4" fillId="7" borderId="10" xfId="0" applyFont="1" applyFill="1" applyBorder="1" applyAlignment="1">
      <alignment horizontal="left" vertical="center" wrapText="1"/>
    </xf>
    <xf numFmtId="0" fontId="4" fillId="0" borderId="1" xfId="0" applyFont="1" applyFill="1" applyBorder="1" applyAlignment="1">
      <alignment horizontal="left" vertical="center"/>
    </xf>
    <xf numFmtId="0" fontId="1" fillId="0" borderId="1" xfId="0" applyFont="1" applyFill="1" applyBorder="1" applyAlignment="1">
      <alignment vertical="center"/>
    </xf>
    <xf numFmtId="0" fontId="1" fillId="0" borderId="16" xfId="0" applyFont="1" applyFill="1" applyBorder="1" applyAlignment="1">
      <alignment vertical="center"/>
    </xf>
    <xf numFmtId="0" fontId="4" fillId="0" borderId="13" xfId="0" applyFont="1" applyFill="1" applyBorder="1" applyAlignment="1">
      <alignment horizontal="left" vertical="center"/>
    </xf>
    <xf numFmtId="0" fontId="1" fillId="8" borderId="14" xfId="0" applyFont="1" applyFill="1" applyBorder="1" applyAlignment="1">
      <alignment horizontal="left" vertical="center" wrapText="1"/>
    </xf>
    <xf numFmtId="0" fontId="1" fillId="0" borderId="0" xfId="0" applyFont="1" applyFill="1" applyAlignment="1">
      <alignment horizontal="left" vertical="center" wrapText="1"/>
    </xf>
    <xf numFmtId="0" fontId="1" fillId="6" borderId="3" xfId="0" applyFont="1" applyFill="1" applyBorder="1" applyAlignment="1">
      <alignment vertical="center" wrapText="1"/>
    </xf>
    <xf numFmtId="0" fontId="1" fillId="6" borderId="4" xfId="0" applyFont="1" applyFill="1" applyBorder="1" applyAlignment="1">
      <alignment vertical="center" wrapText="1"/>
    </xf>
    <xf numFmtId="0" fontId="1" fillId="10" borderId="5" xfId="0" applyFont="1" applyFill="1" applyBorder="1" applyAlignment="1">
      <alignment vertical="center" wrapText="1"/>
    </xf>
    <xf numFmtId="0" fontId="4" fillId="11" borderId="10"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4" fillId="11" borderId="1" xfId="0" applyFont="1" applyFill="1" applyBorder="1" applyAlignment="1">
      <alignment horizontal="left" vertical="center" wrapText="1"/>
    </xf>
    <xf numFmtId="2" fontId="4" fillId="11" borderId="13" xfId="0" applyNumberFormat="1" applyFont="1" applyFill="1" applyBorder="1" applyAlignment="1">
      <alignment horizontal="left" vertical="center" wrapText="1"/>
    </xf>
    <xf numFmtId="0" fontId="1" fillId="0" borderId="11" xfId="0" applyFont="1" applyFill="1" applyBorder="1" applyAlignment="1">
      <alignment horizontal="left" vertical="center"/>
    </xf>
    <xf numFmtId="0" fontId="5" fillId="0" borderId="1" xfId="0" applyFont="1" applyFill="1" applyBorder="1" applyAlignment="1">
      <alignment horizontal="left" vertical="center" wrapText="1"/>
    </xf>
    <xf numFmtId="0" fontId="5" fillId="11" borderId="1" xfId="0" applyFont="1" applyFill="1" applyBorder="1" applyAlignment="1">
      <alignment horizontal="left" vertical="center" wrapText="1"/>
    </xf>
    <xf numFmtId="0" fontId="1" fillId="11" borderId="13"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21" xfId="0" applyFont="1" applyFill="1" applyBorder="1" applyAlignment="1">
      <alignment horizontal="left" vertical="center"/>
    </xf>
    <xf numFmtId="0" fontId="0" fillId="0" borderId="25"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4" fillId="11" borderId="13" xfId="0" applyFont="1" applyFill="1" applyBorder="1" applyAlignment="1">
      <alignment horizontal="left" vertical="center" wrapText="1"/>
    </xf>
    <xf numFmtId="0" fontId="0" fillId="0" borderId="21" xfId="0" applyFill="1" applyBorder="1" applyAlignment="1">
      <alignment horizontal="left" vertical="center" wrapText="1"/>
    </xf>
    <xf numFmtId="0" fontId="4" fillId="11" borderId="10" xfId="0" applyNumberFormat="1"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25" xfId="0" applyFont="1" applyFill="1" applyBorder="1" applyAlignment="1">
      <alignment vertical="center" wrapText="1"/>
    </xf>
    <xf numFmtId="0" fontId="4" fillId="0" borderId="1" xfId="5" applyFont="1" applyFill="1" applyBorder="1" applyAlignment="1" applyProtection="1">
      <alignment vertical="center"/>
    </xf>
    <xf numFmtId="0" fontId="4" fillId="0" borderId="21" xfId="0" applyFont="1" applyFill="1" applyBorder="1" applyAlignment="1">
      <alignment horizontal="left" vertical="center" wrapText="1"/>
    </xf>
    <xf numFmtId="0" fontId="4" fillId="0" borderId="12" xfId="0" applyFont="1" applyFill="1" applyBorder="1" applyAlignment="1">
      <alignment vertical="center" wrapText="1"/>
    </xf>
    <xf numFmtId="0" fontId="4" fillId="0" borderId="13" xfId="5" applyFont="1" applyFill="1" applyBorder="1" applyAlignment="1" applyProtection="1">
      <alignment vertical="center"/>
    </xf>
    <xf numFmtId="0" fontId="4" fillId="0" borderId="14" xfId="0" applyFont="1" applyFill="1" applyBorder="1" applyAlignment="1">
      <alignment horizontal="left" vertical="center" wrapText="1"/>
    </xf>
    <xf numFmtId="0" fontId="4" fillId="0" borderId="9" xfId="0" applyFont="1" applyFill="1" applyBorder="1" applyAlignment="1">
      <alignment vertical="center" wrapText="1"/>
    </xf>
    <xf numFmtId="0" fontId="4" fillId="0" borderId="10" xfId="5" applyFont="1" applyFill="1" applyBorder="1" applyAlignment="1" applyProtection="1">
      <alignment vertical="center" wrapText="1"/>
    </xf>
    <xf numFmtId="0" fontId="4" fillId="0" borderId="28" xfId="0" applyFont="1" applyFill="1" applyBorder="1" applyAlignment="1">
      <alignment vertical="center" wrapText="1"/>
    </xf>
    <xf numFmtId="0" fontId="4" fillId="0" borderId="16" xfId="5" applyFont="1" applyFill="1" applyBorder="1" applyAlignment="1" applyProtection="1">
      <alignment vertical="center" wrapText="1"/>
    </xf>
    <xf numFmtId="0" fontId="4" fillId="11" borderId="16"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4" fillId="0" borderId="26" xfId="0" applyFont="1" applyFill="1" applyBorder="1" applyAlignment="1">
      <alignment vertical="center" wrapText="1"/>
    </xf>
    <xf numFmtId="0" fontId="4" fillId="0" borderId="27" xfId="5" applyFont="1" applyFill="1" applyBorder="1" applyAlignment="1" applyProtection="1">
      <alignment vertical="center" wrapText="1"/>
    </xf>
    <xf numFmtId="0" fontId="4" fillId="0" borderId="27" xfId="0" applyFont="1" applyFill="1" applyBorder="1" applyAlignment="1">
      <alignment horizontal="left" vertical="center" wrapText="1"/>
    </xf>
    <xf numFmtId="0" fontId="4" fillId="11" borderId="27"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12" borderId="10" xfId="0" applyFont="1" applyFill="1" applyBorder="1" applyAlignment="1">
      <alignment horizontal="left" vertical="center" wrapText="1"/>
    </xf>
    <xf numFmtId="0" fontId="7" fillId="8" borderId="21" xfId="0" applyFont="1" applyFill="1" applyBorder="1" applyAlignment="1">
      <alignment horizontal="left" vertical="center" wrapText="1"/>
    </xf>
    <xf numFmtId="0" fontId="4" fillId="12" borderId="16" xfId="0" applyFont="1" applyFill="1" applyBorder="1" applyAlignment="1">
      <alignment horizontal="left" vertical="center" wrapText="1"/>
    </xf>
    <xf numFmtId="0" fontId="7" fillId="0" borderId="21" xfId="0" applyFont="1" applyFill="1" applyBorder="1" applyAlignment="1">
      <alignment horizontal="left" vertical="center"/>
    </xf>
    <xf numFmtId="0" fontId="0" fillId="2" borderId="9"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2" borderId="21" xfId="0" applyFont="1" applyFill="1" applyBorder="1" applyAlignment="1">
      <alignment horizontal="center" vertical="center" wrapText="1"/>
    </xf>
    <xf numFmtId="0" fontId="4" fillId="13" borderId="25" xfId="0" applyFont="1" applyFill="1" applyBorder="1" applyAlignment="1">
      <alignment horizontal="left" vertical="center" wrapText="1"/>
    </xf>
    <xf numFmtId="0" fontId="4" fillId="13" borderId="1" xfId="0" applyFont="1" applyFill="1" applyBorder="1" applyAlignment="1">
      <alignment horizontal="left" vertical="center" wrapText="1"/>
    </xf>
    <xf numFmtId="0" fontId="0" fillId="14" borderId="1"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6" borderId="4" xfId="0" applyFont="1" applyFill="1" applyBorder="1" applyAlignment="1">
      <alignment horizontal="left" vertical="center" wrapText="1"/>
    </xf>
    <xf numFmtId="0" fontId="1" fillId="10" borderId="5"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14" borderId="10" xfId="0" applyFont="1" applyFill="1" applyBorder="1" applyAlignment="1">
      <alignment horizontal="left" vertical="center" wrapText="1"/>
    </xf>
    <xf numFmtId="0" fontId="1" fillId="11"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1" fillId="11" borderId="27" xfId="0" applyFont="1" applyFill="1" applyBorder="1" applyAlignment="1">
      <alignment horizontal="left" vertical="center" wrapText="1"/>
    </xf>
    <xf numFmtId="0" fontId="1" fillId="8" borderId="1" xfId="0" applyFont="1" applyFill="1" applyBorder="1" applyAlignment="1">
      <alignment horizontal="center" vertical="center" wrapText="1"/>
    </xf>
    <xf numFmtId="0" fontId="1" fillId="0" borderId="21" xfId="0" applyFont="1" applyFill="1" applyBorder="1" applyAlignment="1">
      <alignment horizontal="left" vertical="center" wrapText="1"/>
    </xf>
    <xf numFmtId="0" fontId="5" fillId="0" borderId="28"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11" borderId="1" xfId="0" applyFont="1" applyFill="1" applyBorder="1" applyAlignment="1">
      <alignment horizontal="left" vertical="center" wrapText="1"/>
    </xf>
    <xf numFmtId="0" fontId="1" fillId="0" borderId="14" xfId="0"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49" fontId="1" fillId="0" borderId="10" xfId="0" applyNumberFormat="1" applyFont="1" applyFill="1" applyBorder="1" applyAlignment="1">
      <alignment horizontal="left" vertical="center" wrapText="1"/>
    </xf>
    <xf numFmtId="49" fontId="4" fillId="0" borderId="12" xfId="0" applyNumberFormat="1" applyFont="1" applyFill="1" applyBorder="1" applyAlignment="1">
      <alignment vertical="center" wrapText="1"/>
    </xf>
    <xf numFmtId="49" fontId="1" fillId="0" borderId="1" xfId="0" applyNumberFormat="1" applyFont="1" applyFill="1" applyBorder="1" applyAlignment="1">
      <alignment horizontal="left" vertical="center" wrapText="1"/>
    </xf>
    <xf numFmtId="0" fontId="4" fillId="11" borderId="1" xfId="0" applyNumberFormat="1" applyFont="1" applyFill="1" applyBorder="1" applyAlignment="1">
      <alignment horizontal="left" vertical="center" wrapText="1"/>
    </xf>
    <xf numFmtId="49" fontId="4" fillId="0" borderId="25" xfId="0" applyNumberFormat="1" applyFont="1" applyFill="1" applyBorder="1" applyAlignment="1">
      <alignment horizontal="left" vertical="center" wrapText="1"/>
    </xf>
    <xf numFmtId="0" fontId="1" fillId="11" borderId="1" xfId="0" applyNumberFormat="1" applyFont="1" applyFill="1" applyBorder="1" applyAlignment="1">
      <alignment horizontal="left" vertical="center" wrapText="1"/>
    </xf>
    <xf numFmtId="0" fontId="1" fillId="11" borderId="1" xfId="0" applyFont="1" applyFill="1" applyBorder="1" applyAlignment="1">
      <alignment horizontal="left" vertical="center"/>
    </xf>
    <xf numFmtId="49" fontId="4" fillId="0" borderId="12" xfId="0" applyNumberFormat="1" applyFont="1" applyFill="1" applyBorder="1" applyAlignment="1">
      <alignment horizontal="left" vertical="center" wrapText="1"/>
    </xf>
    <xf numFmtId="49" fontId="4" fillId="0" borderId="28" xfId="0" applyNumberFormat="1" applyFont="1" applyFill="1" applyBorder="1" applyAlignment="1">
      <alignment horizontal="left" vertical="center" wrapText="1"/>
    </xf>
    <xf numFmtId="0" fontId="5" fillId="8" borderId="10" xfId="0"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1"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1" fillId="6" borderId="31"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1" fillId="15" borderId="11" xfId="0" applyFont="1" applyFill="1" applyBorder="1" applyAlignment="1"/>
    <xf numFmtId="0" fontId="4" fillId="0" borderId="33" xfId="0" applyFont="1" applyFill="1" applyBorder="1" applyAlignment="1">
      <alignment vertical="center" wrapText="1"/>
    </xf>
    <xf numFmtId="0" fontId="1" fillId="15" borderId="21" xfId="0" applyFont="1" applyFill="1" applyBorder="1" applyAlignment="1"/>
    <xf numFmtId="0" fontId="4" fillId="0" borderId="34" xfId="0" applyFont="1" applyFill="1" applyBorder="1" applyAlignment="1">
      <alignment horizontal="left" vertical="center" wrapText="1"/>
    </xf>
    <xf numFmtId="0" fontId="4" fillId="15" borderId="21" xfId="0" applyFont="1" applyFill="1" applyBorder="1" applyAlignment="1">
      <alignment horizontal="left" vertical="center" wrapText="1"/>
    </xf>
    <xf numFmtId="0" fontId="1" fillId="15" borderId="21" xfId="0" applyFont="1" applyFill="1" applyBorder="1" applyAlignment="1">
      <alignment wrapText="1"/>
    </xf>
    <xf numFmtId="0" fontId="4" fillId="0" borderId="33" xfId="0" applyFont="1" applyFill="1" applyBorder="1" applyAlignment="1">
      <alignment horizontal="left" vertical="center" wrapText="1"/>
    </xf>
    <xf numFmtId="0" fontId="1" fillId="15" borderId="14" xfId="0" applyFont="1" applyFill="1" applyBorder="1" applyAlignment="1">
      <alignment wrapText="1"/>
    </xf>
    <xf numFmtId="0" fontId="5" fillId="6" borderId="35" xfId="0" applyFont="1" applyFill="1" applyBorder="1" applyAlignment="1">
      <alignment horizontal="left" vertical="center" wrapText="1"/>
    </xf>
    <xf numFmtId="0" fontId="5" fillId="0" borderId="10" xfId="0" applyFont="1" applyFill="1" applyBorder="1" applyAlignment="1">
      <alignment horizontal="left" vertical="center"/>
    </xf>
    <xf numFmtId="0" fontId="5" fillId="13" borderId="10" xfId="0" applyFont="1" applyFill="1" applyBorder="1" applyAlignment="1">
      <alignment horizontal="left" vertical="center"/>
    </xf>
    <xf numFmtId="0" fontId="5" fillId="0" borderId="36" xfId="0" applyFont="1" applyFill="1" applyBorder="1" applyAlignment="1">
      <alignment horizontal="left" vertical="center" wrapText="1"/>
    </xf>
    <xf numFmtId="0" fontId="5" fillId="0" borderId="1" xfId="0" applyFont="1" applyFill="1" applyBorder="1" applyAlignment="1">
      <alignment horizontal="left" vertical="center"/>
    </xf>
    <xf numFmtId="0" fontId="5" fillId="14" borderId="1" xfId="0" applyFont="1" applyFill="1" applyBorder="1" applyAlignment="1">
      <alignment horizontal="left" vertical="center"/>
    </xf>
    <xf numFmtId="0" fontId="5" fillId="14" borderId="1" xfId="0" applyFont="1" applyFill="1" applyBorder="1" applyAlignment="1">
      <alignment horizontal="left" vertical="center" wrapText="1"/>
    </xf>
    <xf numFmtId="0" fontId="1" fillId="8" borderId="10" xfId="0" applyFont="1" applyFill="1" applyBorder="1" applyAlignment="1">
      <alignment horizontal="center" vertical="center"/>
    </xf>
    <xf numFmtId="0" fontId="1" fillId="8" borderId="1" xfId="0" applyFont="1" applyFill="1" applyBorder="1" applyAlignment="1">
      <alignment horizontal="center" vertical="center"/>
    </xf>
    <xf numFmtId="0" fontId="1" fillId="0" borderId="10" xfId="0" applyFont="1" applyFill="1" applyBorder="1" applyAlignment="1">
      <alignment horizontal="center" vertical="center"/>
    </xf>
    <xf numFmtId="0" fontId="5" fillId="8" borderId="1" xfId="0" applyFont="1" applyFill="1" applyBorder="1" applyAlignment="1">
      <alignment horizontal="center" vertical="center"/>
    </xf>
    <xf numFmtId="0" fontId="5" fillId="0" borderId="16" xfId="0" applyFont="1" applyFill="1" applyBorder="1" applyAlignment="1">
      <alignment horizontal="left" vertical="center"/>
    </xf>
    <xf numFmtId="0" fontId="5" fillId="6" borderId="23" xfId="0" applyFont="1" applyFill="1" applyBorder="1" applyAlignment="1">
      <alignment horizontal="left" vertical="center" wrapText="1"/>
    </xf>
    <xf numFmtId="0" fontId="5" fillId="6" borderId="31"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3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14" borderId="34" xfId="0" applyFont="1" applyFill="1" applyBorder="1" applyAlignment="1">
      <alignment horizontal="left" vertical="center" wrapText="1"/>
    </xf>
    <xf numFmtId="0" fontId="5" fillId="14" borderId="21" xfId="0" applyFont="1" applyFill="1" applyBorder="1" applyAlignment="1">
      <alignment horizontal="left" vertical="center" wrapText="1"/>
    </xf>
    <xf numFmtId="0" fontId="1" fillId="8" borderId="38" xfId="0" applyFont="1" applyFill="1" applyBorder="1" applyAlignment="1">
      <alignment horizontal="center" vertical="center" wrapText="1"/>
    </xf>
    <xf numFmtId="0" fontId="1" fillId="8" borderId="10" xfId="0" applyFont="1" applyFill="1" applyBorder="1" applyAlignment="1">
      <alignment horizontal="center" vertical="center" wrapText="1"/>
    </xf>
    <xf numFmtId="0" fontId="1" fillId="8" borderId="34" xfId="0" applyFont="1" applyFill="1" applyBorder="1" applyAlignment="1">
      <alignment horizontal="center" vertical="center" wrapText="1"/>
    </xf>
    <xf numFmtId="0" fontId="1" fillId="8" borderId="21" xfId="0" applyFont="1" applyFill="1" applyBorder="1" applyAlignment="1">
      <alignment horizontal="center" vertical="center" wrapText="1"/>
    </xf>
    <xf numFmtId="0" fontId="5" fillId="0" borderId="39"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9" fillId="17" borderId="28" xfId="0" applyFont="1" applyFill="1" applyBorder="1" applyAlignment="1" applyProtection="1">
      <alignment vertical="center"/>
    </xf>
    <xf numFmtId="0" fontId="9" fillId="17" borderId="16" xfId="0" applyFont="1" applyFill="1" applyBorder="1" applyAlignment="1" applyProtection="1">
      <alignment horizontal="left" vertical="center"/>
    </xf>
    <xf numFmtId="176" fontId="9" fillId="17" borderId="16" xfId="0" applyNumberFormat="1" applyFont="1" applyFill="1" applyBorder="1" applyAlignment="1" applyProtection="1">
      <alignment horizontal="left" vertical="center"/>
    </xf>
    <xf numFmtId="176" fontId="9" fillId="17" borderId="29" xfId="0" applyNumberFormat="1" applyFont="1" applyFill="1" applyBorder="1" applyAlignment="1" applyProtection="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4" fillId="0" borderId="1" xfId="5" applyFont="1" applyFill="1" applyBorder="1" applyAlignment="1" applyProtection="1">
      <alignment vertical="center" wrapText="1"/>
    </xf>
    <xf numFmtId="0" fontId="1" fillId="0" borderId="0" xfId="0" applyFont="1" applyFill="1" applyBorder="1" applyAlignment="1"/>
    <xf numFmtId="49" fontId="4" fillId="14" borderId="12" xfId="0" applyNumberFormat="1" applyFont="1" applyFill="1" applyBorder="1" applyAlignment="1">
      <alignment vertical="center" wrapText="1"/>
    </xf>
    <xf numFmtId="0" fontId="4" fillId="14" borderId="10" xfId="0" applyFont="1" applyFill="1" applyBorder="1" applyAlignment="1">
      <alignment horizontal="left" vertical="center" wrapText="1"/>
    </xf>
    <xf numFmtId="49" fontId="1" fillId="14" borderId="1" xfId="0" applyNumberFormat="1" applyFont="1" applyFill="1" applyBorder="1" applyAlignment="1">
      <alignment horizontal="left" vertical="center" wrapText="1"/>
    </xf>
    <xf numFmtId="0" fontId="4" fillId="14" borderId="1" xfId="0" applyFont="1" applyFill="1" applyBorder="1" applyAlignment="1">
      <alignment horizontal="left" vertical="center" wrapText="1"/>
    </xf>
    <xf numFmtId="0" fontId="4" fillId="11" borderId="1" xfId="0" applyFont="1" applyFill="1" applyBorder="1" applyAlignment="1">
      <alignment horizontal="left" vertical="center"/>
    </xf>
    <xf numFmtId="0" fontId="4" fillId="14" borderId="33" xfId="0" applyFont="1" applyFill="1" applyBorder="1" applyAlignment="1">
      <alignment vertical="center" wrapText="1"/>
    </xf>
    <xf numFmtId="0" fontId="10" fillId="18" borderId="1" xfId="10" applyFont="1" applyFill="1" applyBorder="1" applyAlignment="1">
      <alignment horizontal="left" vertical="center" wrapText="1"/>
    </xf>
    <xf numFmtId="0" fontId="10" fillId="18" borderId="1" xfId="10" applyFont="1" applyFill="1" applyBorder="1" applyAlignment="1" applyProtection="1">
      <alignment horizontal="left" vertical="center" wrapText="1"/>
      <protection locked="0"/>
    </xf>
    <xf numFmtId="0" fontId="11" fillId="0" borderId="0" xfId="0" applyFont="1" applyAlignment="1"/>
    <xf numFmtId="0" fontId="12" fillId="3" borderId="2" xfId="0" applyFont="1" applyFill="1" applyBorder="1" applyAlignment="1">
      <alignment vertical="center" wrapText="1"/>
    </xf>
    <xf numFmtId="0" fontId="12" fillId="4" borderId="2" xfId="0" applyFont="1" applyFill="1" applyBorder="1" applyAlignment="1">
      <alignment horizontal="left" vertical="center" wrapText="1"/>
    </xf>
    <xf numFmtId="0" fontId="11" fillId="0" borderId="0" xfId="0" applyFont="1" applyAlignment="1">
      <alignment wrapText="1"/>
    </xf>
    <xf numFmtId="0" fontId="11" fillId="20" borderId="3" xfId="0" applyFont="1" applyFill="1" applyBorder="1" applyAlignment="1">
      <alignment horizontal="left" vertical="center" wrapText="1"/>
    </xf>
    <xf numFmtId="0" fontId="11" fillId="20" borderId="4" xfId="0" applyFont="1" applyFill="1" applyBorder="1" applyAlignment="1">
      <alignment horizontal="left" vertical="center" wrapText="1"/>
    </xf>
    <xf numFmtId="0" fontId="11" fillId="20" borderId="5" xfId="0" applyFont="1" applyFill="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21" borderId="7" xfId="0" applyFont="1" applyFill="1" applyBorder="1" applyAlignment="1">
      <alignment horizontal="left" vertical="center" wrapText="1"/>
    </xf>
    <xf numFmtId="0" fontId="11" fillId="8" borderId="8" xfId="0" applyFont="1" applyFill="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22" borderId="10" xfId="0" applyFont="1" applyFill="1" applyBorder="1" applyAlignment="1">
      <alignment horizontal="left" vertical="center" wrapText="1"/>
    </xf>
    <xf numFmtId="0" fontId="13" fillId="8" borderId="11" xfId="0" applyFont="1" applyFill="1" applyBorder="1" applyAlignment="1">
      <alignment horizontal="left" vertical="center" wrapText="1"/>
    </xf>
    <xf numFmtId="0" fontId="11" fillId="21" borderId="10" xfId="0" applyFont="1" applyFill="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21" borderId="13" xfId="0" applyFont="1" applyFill="1" applyBorder="1" applyAlignment="1">
      <alignment horizontal="left" vertical="center" wrapText="1"/>
    </xf>
    <xf numFmtId="0" fontId="13" fillId="8" borderId="14"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15" xfId="0" applyFont="1" applyBorder="1" applyAlignment="1">
      <alignment horizontal="left" vertical="center" wrapText="1"/>
    </xf>
    <xf numFmtId="0" fontId="13" fillId="22" borderId="1" xfId="0" applyFont="1" applyFill="1" applyBorder="1" applyAlignment="1">
      <alignment horizontal="left" vertical="center" wrapText="1"/>
    </xf>
    <xf numFmtId="0" fontId="13" fillId="0" borderId="16" xfId="0" applyFont="1" applyBorder="1" applyAlignment="1">
      <alignment horizontal="left" vertical="center" wrapText="1"/>
    </xf>
    <xf numFmtId="0" fontId="13" fillId="0" borderId="17" xfId="0" applyFont="1" applyBorder="1" applyAlignment="1">
      <alignment horizontal="left" vertical="center" wrapText="1"/>
    </xf>
    <xf numFmtId="0" fontId="13" fillId="0" borderId="13" xfId="0" applyFont="1" applyBorder="1" applyAlignment="1">
      <alignment horizontal="left" vertical="center" wrapText="1"/>
    </xf>
    <xf numFmtId="0" fontId="13" fillId="22" borderId="13" xfId="0" applyFont="1" applyFill="1" applyBorder="1" applyAlignment="1">
      <alignment horizontal="left" vertical="center" wrapText="1"/>
    </xf>
    <xf numFmtId="0" fontId="11" fillId="0" borderId="1" xfId="0" applyFont="1" applyBorder="1" applyAlignment="1">
      <alignment horizontal="left" vertical="center" wrapText="1"/>
    </xf>
    <xf numFmtId="0" fontId="11" fillId="22" borderId="1" xfId="0" applyFont="1" applyFill="1" applyBorder="1" applyAlignment="1">
      <alignment horizontal="left" vertical="center" wrapText="1"/>
    </xf>
    <xf numFmtId="0" fontId="11" fillId="8" borderId="21" xfId="0" applyFont="1" applyFill="1" applyBorder="1" applyAlignment="1">
      <alignment horizontal="left" vertical="center" wrapText="1"/>
    </xf>
    <xf numFmtId="0" fontId="11" fillId="22" borderId="7" xfId="0" applyFont="1" applyFill="1" applyBorder="1" applyAlignment="1">
      <alignment horizontal="left" vertical="center" wrapText="1"/>
    </xf>
    <xf numFmtId="0" fontId="13" fillId="18" borderId="22" xfId="0" applyFont="1" applyFill="1" applyBorder="1" applyAlignment="1">
      <alignment horizontal="center" vertical="center" wrapText="1"/>
    </xf>
    <xf numFmtId="0" fontId="13" fillId="18" borderId="23" xfId="0" applyFont="1" applyFill="1" applyBorder="1" applyAlignment="1">
      <alignment horizontal="center" vertical="center" wrapText="1"/>
    </xf>
    <xf numFmtId="0" fontId="13" fillId="18" borderId="24" xfId="0" applyFont="1" applyFill="1" applyBorder="1" applyAlignment="1">
      <alignment horizontal="center" vertical="center" wrapText="1"/>
    </xf>
    <xf numFmtId="0" fontId="11" fillId="8" borderId="11" xfId="0" applyFont="1" applyFill="1" applyBorder="1" applyAlignment="1">
      <alignment horizontal="left" vertical="center" wrapText="1"/>
    </xf>
    <xf numFmtId="0" fontId="13" fillId="0" borderId="25" xfId="0" applyFont="1" applyBorder="1" applyAlignment="1">
      <alignment horizontal="left" vertical="center" wrapText="1"/>
    </xf>
    <xf numFmtId="0" fontId="13" fillId="21" borderId="1" xfId="0" applyFont="1" applyFill="1" applyBorder="1" applyAlignment="1">
      <alignment horizontal="left" vertical="center" wrapText="1"/>
    </xf>
    <xf numFmtId="0" fontId="13" fillId="8" borderId="21" xfId="0" applyFont="1" applyFill="1" applyBorder="1" applyAlignment="1">
      <alignment horizontal="left" vertical="center" wrapText="1"/>
    </xf>
    <xf numFmtId="0" fontId="13" fillId="0" borderId="12" xfId="0" applyFont="1" applyBorder="1" applyAlignment="1">
      <alignment horizontal="left" vertical="center" wrapText="1"/>
    </xf>
    <xf numFmtId="0" fontId="13" fillId="21" borderId="13" xfId="0" applyFont="1" applyFill="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7" xfId="0" applyFont="1" applyBorder="1" applyAlignment="1">
      <alignment horizontal="left" vertical="center"/>
    </xf>
    <xf numFmtId="0" fontId="13" fillId="21" borderId="7" xfId="0" applyFont="1" applyFill="1" applyBorder="1" applyAlignment="1">
      <alignment horizontal="left" vertical="center" wrapText="1"/>
    </xf>
    <xf numFmtId="0" fontId="13" fillId="8"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7" xfId="0" applyFont="1" applyBorder="1" applyAlignment="1">
      <alignment horizontal="left" vertical="center"/>
    </xf>
    <xf numFmtId="0" fontId="14" fillId="21" borderId="7" xfId="0" applyFont="1" applyFill="1" applyBorder="1" applyAlignment="1">
      <alignment horizontal="left" vertical="center" wrapText="1"/>
    </xf>
    <xf numFmtId="0" fontId="14" fillId="8" borderId="8" xfId="0" applyFont="1" applyFill="1" applyBorder="1" applyAlignment="1">
      <alignment horizontal="left"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0" xfId="0" applyFont="1" applyBorder="1" applyAlignment="1">
      <alignment horizontal="left" vertical="center"/>
    </xf>
    <xf numFmtId="0" fontId="13" fillId="21" borderId="10" xfId="0" applyFont="1" applyFill="1" applyBorder="1" applyAlignment="1">
      <alignment horizontal="left" vertical="center" wrapText="1"/>
    </xf>
    <xf numFmtId="0" fontId="13" fillId="0" borderId="1" xfId="0" applyFont="1" applyBorder="1" applyAlignment="1">
      <alignment horizontal="left" vertical="center"/>
    </xf>
    <xf numFmtId="0" fontId="11" fillId="0" borderId="1" xfId="0" applyFont="1" applyBorder="1">
      <alignment vertical="center"/>
    </xf>
    <xf numFmtId="0" fontId="11" fillId="0" borderId="16" xfId="0" applyFont="1" applyBorder="1">
      <alignment vertical="center"/>
    </xf>
    <xf numFmtId="0" fontId="13" fillId="0" borderId="13" xfId="0" applyFont="1" applyBorder="1" applyAlignment="1">
      <alignment horizontal="left" vertical="center"/>
    </xf>
    <xf numFmtId="0" fontId="11" fillId="8" borderId="14" xfId="0" applyFont="1" applyFill="1" applyBorder="1" applyAlignment="1">
      <alignment horizontal="left" vertical="center" wrapText="1"/>
    </xf>
    <xf numFmtId="0" fontId="11" fillId="0" borderId="0" xfId="0" applyFont="1" applyAlignment="1">
      <alignment horizontal="left" vertical="center" wrapText="1"/>
    </xf>
    <xf numFmtId="0" fontId="11" fillId="20" borderId="3" xfId="0" applyFont="1" applyFill="1" applyBorder="1" applyAlignment="1">
      <alignment vertical="center" wrapText="1"/>
    </xf>
    <xf numFmtId="0" fontId="11" fillId="20" borderId="4" xfId="0" applyFont="1" applyFill="1" applyBorder="1" applyAlignment="1">
      <alignment vertical="center" wrapText="1"/>
    </xf>
    <xf numFmtId="0" fontId="11" fillId="23" borderId="5" xfId="0" applyFont="1" applyFill="1" applyBorder="1" applyAlignment="1">
      <alignment vertical="center" wrapText="1"/>
    </xf>
    <xf numFmtId="0" fontId="13" fillId="24" borderId="10" xfId="0" applyFont="1" applyFill="1" applyBorder="1" applyAlignment="1">
      <alignment horizontal="left" vertical="center" wrapText="1"/>
    </xf>
    <xf numFmtId="0" fontId="11" fillId="0" borderId="25" xfId="0" applyFont="1" applyBorder="1" applyAlignment="1">
      <alignment horizontal="left" vertical="center" wrapText="1"/>
    </xf>
    <xf numFmtId="0" fontId="13" fillId="24" borderId="1" xfId="0" applyFont="1" applyFill="1" applyBorder="1" applyAlignment="1">
      <alignment horizontal="left" vertical="center" wrapText="1"/>
    </xf>
    <xf numFmtId="2" fontId="13" fillId="24" borderId="13" xfId="0" applyNumberFormat="1" applyFont="1" applyFill="1" applyBorder="1" applyAlignment="1">
      <alignment horizontal="left" vertical="center" wrapText="1"/>
    </xf>
    <xf numFmtId="0" fontId="11" fillId="0" borderId="11" xfId="0" applyFont="1" applyBorder="1" applyAlignment="1">
      <alignment horizontal="left" vertical="center"/>
    </xf>
    <xf numFmtId="0" fontId="14" fillId="0" borderId="1" xfId="0" applyFont="1" applyBorder="1" applyAlignment="1">
      <alignment horizontal="left" vertical="center" wrapText="1"/>
    </xf>
    <xf numFmtId="0" fontId="14" fillId="24" borderId="1" xfId="0" applyFont="1" applyFill="1" applyBorder="1" applyAlignment="1">
      <alignment horizontal="left" vertical="center" wrapText="1"/>
    </xf>
    <xf numFmtId="0" fontId="11" fillId="24" borderId="13" xfId="0" applyFont="1" applyFill="1" applyBorder="1" applyAlignment="1">
      <alignment horizontal="left" vertical="center" wrapText="1"/>
    </xf>
    <xf numFmtId="0" fontId="15" fillId="0" borderId="25" xfId="0" applyFont="1" applyBorder="1" applyAlignment="1">
      <alignment horizontal="left" vertical="center" wrapText="1"/>
    </xf>
    <xf numFmtId="0" fontId="15" fillId="0" borderId="1" xfId="0" applyFont="1" applyBorder="1" applyAlignment="1">
      <alignment horizontal="left" vertical="center" wrapText="1"/>
    </xf>
    <xf numFmtId="0" fontId="14" fillId="0" borderId="21" xfId="0" applyFont="1" applyBorder="1" applyAlignment="1">
      <alignment horizontal="left" vertical="center"/>
    </xf>
    <xf numFmtId="0" fontId="0" fillId="0" borderId="25" xfId="0" applyBorder="1" applyAlignment="1">
      <alignment horizontal="left" vertical="center" wrapText="1"/>
    </xf>
    <xf numFmtId="0" fontId="0" fillId="0" borderId="1" xfId="0" applyBorder="1" applyAlignment="1">
      <alignment horizontal="left" vertical="center" wrapText="1"/>
    </xf>
    <xf numFmtId="0" fontId="11" fillId="0" borderId="26" xfId="0" applyFont="1" applyBorder="1" applyAlignment="1">
      <alignment horizontal="left" vertical="center" wrapText="1"/>
    </xf>
    <xf numFmtId="0" fontId="13" fillId="24" borderId="13" xfId="0" applyFont="1" applyFill="1" applyBorder="1" applyAlignment="1">
      <alignment horizontal="left" vertical="center" wrapText="1"/>
    </xf>
    <xf numFmtId="0" fontId="0" fillId="0" borderId="21" xfId="0" applyBorder="1" applyAlignment="1">
      <alignment horizontal="left" vertical="center" wrapText="1"/>
    </xf>
    <xf numFmtId="0" fontId="13" fillId="0" borderId="11" xfId="0" applyFont="1" applyBorder="1" applyAlignment="1">
      <alignment horizontal="left" vertical="center" wrapText="1"/>
    </xf>
    <xf numFmtId="0" fontId="13" fillId="0" borderId="25" xfId="0" applyFont="1" applyBorder="1" applyAlignment="1">
      <alignment vertical="center" wrapText="1"/>
    </xf>
    <xf numFmtId="0" fontId="13" fillId="0" borderId="1" xfId="5" applyFont="1" applyBorder="1" applyAlignment="1">
      <alignment vertical="center"/>
    </xf>
    <xf numFmtId="0" fontId="13" fillId="0" borderId="21" xfId="0" applyFont="1" applyBorder="1" applyAlignment="1">
      <alignment horizontal="left" vertical="center" wrapText="1"/>
    </xf>
    <xf numFmtId="0" fontId="13" fillId="0" borderId="12" xfId="0" applyFont="1" applyBorder="1" applyAlignment="1">
      <alignment vertical="center" wrapText="1"/>
    </xf>
    <xf numFmtId="0" fontId="13" fillId="0" borderId="13" xfId="5" applyFont="1" applyBorder="1" applyAlignment="1">
      <alignment vertical="center"/>
    </xf>
    <xf numFmtId="0" fontId="13" fillId="0" borderId="14" xfId="0" applyFont="1" applyBorder="1" applyAlignment="1">
      <alignment horizontal="left" vertical="center" wrapText="1"/>
    </xf>
    <xf numFmtId="0" fontId="13" fillId="0" borderId="9" xfId="0" applyFont="1" applyBorder="1" applyAlignment="1">
      <alignment vertical="center" wrapText="1"/>
    </xf>
    <xf numFmtId="0" fontId="13" fillId="0" borderId="10" xfId="5" applyFont="1" applyBorder="1" applyAlignment="1">
      <alignment vertical="center" wrapText="1"/>
    </xf>
    <xf numFmtId="0" fontId="13" fillId="0" borderId="28" xfId="0" applyFont="1" applyBorder="1" applyAlignment="1">
      <alignment vertical="center" wrapText="1"/>
    </xf>
    <xf numFmtId="0" fontId="13" fillId="0" borderId="16" xfId="5" applyFont="1" applyBorder="1" applyAlignment="1">
      <alignment vertical="center" wrapText="1"/>
    </xf>
    <xf numFmtId="0" fontId="13" fillId="24" borderId="16" xfId="0" applyFont="1" applyFill="1" applyBorder="1" applyAlignment="1">
      <alignment horizontal="left" vertical="center" wrapText="1"/>
    </xf>
    <xf numFmtId="0" fontId="13" fillId="0" borderId="29" xfId="0" applyFont="1" applyBorder="1" applyAlignment="1">
      <alignment horizontal="left" vertical="center" wrapText="1"/>
    </xf>
    <xf numFmtId="0" fontId="13" fillId="0" borderId="26" xfId="0" applyFont="1" applyBorder="1" applyAlignment="1">
      <alignment vertical="center" wrapText="1"/>
    </xf>
    <xf numFmtId="0" fontId="13" fillId="0" borderId="27" xfId="5" applyFont="1" applyBorder="1" applyAlignment="1">
      <alignment vertical="center" wrapText="1"/>
    </xf>
    <xf numFmtId="0" fontId="13" fillId="0" borderId="27" xfId="0" applyFont="1" applyBorder="1" applyAlignment="1">
      <alignment horizontal="left" vertical="center" wrapText="1"/>
    </xf>
    <xf numFmtId="0" fontId="13" fillId="24" borderId="27" xfId="0" applyFont="1" applyFill="1" applyBorder="1" applyAlignment="1">
      <alignment horizontal="left" vertical="center" wrapText="1"/>
    </xf>
    <xf numFmtId="0" fontId="13" fillId="0" borderId="30" xfId="0" applyFont="1" applyBorder="1" applyAlignment="1">
      <alignment horizontal="left" vertical="center" wrapText="1"/>
    </xf>
    <xf numFmtId="0" fontId="13" fillId="25" borderId="10" xfId="0" applyFont="1" applyFill="1" applyBorder="1" applyAlignment="1">
      <alignment horizontal="left" vertical="center" wrapText="1"/>
    </xf>
    <xf numFmtId="0" fontId="16" fillId="8" borderId="21" xfId="0" applyFont="1" applyFill="1" applyBorder="1" applyAlignment="1">
      <alignment horizontal="left" vertical="center" wrapText="1"/>
    </xf>
    <xf numFmtId="0" fontId="13" fillId="25" borderId="16" xfId="0" applyFont="1" applyFill="1" applyBorder="1" applyAlignment="1">
      <alignment horizontal="left" vertical="center" wrapText="1"/>
    </xf>
    <xf numFmtId="0" fontId="16" fillId="0" borderId="21" xfId="0" applyFont="1" applyBorder="1" applyAlignment="1">
      <alignment horizontal="left" vertical="center"/>
    </xf>
    <xf numFmtId="0" fontId="0" fillId="18" borderId="9" xfId="0" applyFill="1" applyBorder="1" applyAlignment="1">
      <alignment horizontal="center" vertical="center" wrapText="1"/>
    </xf>
    <xf numFmtId="0" fontId="0" fillId="18" borderId="10" xfId="0" applyFill="1" applyBorder="1" applyAlignment="1">
      <alignment horizontal="center" vertical="center" wrapText="1"/>
    </xf>
    <xf numFmtId="0" fontId="0" fillId="18" borderId="1" xfId="0" applyFill="1" applyBorder="1" applyAlignment="1">
      <alignment horizontal="center" vertical="center" wrapText="1"/>
    </xf>
    <xf numFmtId="0" fontId="0" fillId="18" borderId="21" xfId="0" applyFill="1" applyBorder="1" applyAlignment="1">
      <alignment horizontal="center" vertical="center" wrapText="1"/>
    </xf>
    <xf numFmtId="0" fontId="13" fillId="13" borderId="25" xfId="0" applyFont="1" applyFill="1" applyBorder="1" applyAlignment="1">
      <alignment horizontal="left" vertical="center" wrapText="1"/>
    </xf>
    <xf numFmtId="0" fontId="14" fillId="20" borderId="3" xfId="0" applyFont="1" applyFill="1" applyBorder="1" applyAlignment="1">
      <alignment horizontal="left" vertical="center" wrapText="1"/>
    </xf>
    <xf numFmtId="0" fontId="14" fillId="20" borderId="4" xfId="0" applyFont="1" applyFill="1" applyBorder="1" applyAlignment="1">
      <alignment horizontal="left" vertical="center" wrapText="1"/>
    </xf>
    <xf numFmtId="0" fontId="11" fillId="23" borderId="5" xfId="0" applyFont="1" applyFill="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1" fillId="24" borderId="10" xfId="0" applyFont="1" applyFill="1" applyBorder="1" applyAlignment="1">
      <alignment horizontal="left" vertical="center" wrapText="1"/>
    </xf>
    <xf numFmtId="0" fontId="11" fillId="0" borderId="11" xfId="0" applyFont="1" applyBorder="1" applyAlignment="1">
      <alignment horizontal="left" vertical="center" wrapText="1"/>
    </xf>
    <xf numFmtId="0" fontId="11" fillId="8" borderId="1" xfId="0" applyFont="1" applyFill="1" applyBorder="1" applyAlignment="1">
      <alignment horizontal="center" vertical="center" wrapText="1"/>
    </xf>
    <xf numFmtId="0" fontId="11" fillId="24" borderId="27" xfId="0" applyFont="1" applyFill="1" applyBorder="1" applyAlignment="1">
      <alignment horizontal="left" vertical="center" wrapText="1"/>
    </xf>
    <xf numFmtId="0" fontId="14" fillId="8" borderId="25" xfId="0" applyFont="1" applyFill="1" applyBorder="1" applyAlignment="1">
      <alignment horizontal="left" vertical="center" wrapText="1"/>
    </xf>
    <xf numFmtId="0" fontId="14" fillId="8" borderId="1" xfId="0" applyFont="1" applyFill="1" applyBorder="1" applyAlignment="1">
      <alignment horizontal="left" vertical="center" wrapText="1"/>
    </xf>
    <xf numFmtId="0" fontId="11" fillId="0" borderId="21" xfId="0" applyFont="1" applyBorder="1" applyAlignment="1">
      <alignment horizontal="left" vertical="center" wrapText="1"/>
    </xf>
    <xf numFmtId="0" fontId="14" fillId="0" borderId="28" xfId="0" applyFont="1" applyBorder="1" applyAlignment="1">
      <alignment horizontal="left" vertical="center" wrapText="1"/>
    </xf>
    <xf numFmtId="0" fontId="14" fillId="0" borderId="16" xfId="0" applyFont="1" applyBorder="1" applyAlignment="1">
      <alignment horizontal="left" vertical="center" wrapText="1"/>
    </xf>
    <xf numFmtId="0" fontId="11" fillId="0" borderId="0" xfId="0" applyFont="1" applyAlignment="1">
      <alignment horizontal="left" vertical="center"/>
    </xf>
    <xf numFmtId="0" fontId="11" fillId="24" borderId="1" xfId="0" applyFont="1" applyFill="1" applyBorder="1" applyAlignment="1">
      <alignment horizontal="left" vertical="center" wrapText="1"/>
    </xf>
    <xf numFmtId="0" fontId="0" fillId="0" borderId="0" xfId="0" applyAlignment="1"/>
    <xf numFmtId="0" fontId="11" fillId="0" borderId="27" xfId="0" applyFont="1" applyBorder="1" applyAlignment="1">
      <alignment horizontal="left" vertical="center" wrapText="1"/>
    </xf>
    <xf numFmtId="0" fontId="11" fillId="0" borderId="14" xfId="0" applyFont="1" applyBorder="1" applyAlignment="1">
      <alignment horizontal="left" vertical="center" wrapText="1"/>
    </xf>
    <xf numFmtId="49" fontId="13" fillId="0" borderId="9" xfId="0" applyNumberFormat="1" applyFont="1" applyBorder="1" applyAlignment="1">
      <alignment horizontal="left" vertical="center" wrapText="1"/>
    </xf>
    <xf numFmtId="49" fontId="11" fillId="0" borderId="10" xfId="0" applyNumberFormat="1" applyFont="1" applyBorder="1" applyAlignment="1">
      <alignment horizontal="left" vertical="center" wrapText="1"/>
    </xf>
    <xf numFmtId="49" fontId="13" fillId="0" borderId="12" xfId="0" applyNumberFormat="1" applyFont="1" applyBorder="1" applyAlignment="1">
      <alignment vertical="center" wrapText="1"/>
    </xf>
    <xf numFmtId="49" fontId="11" fillId="0" borderId="1" xfId="0" applyNumberFormat="1" applyFont="1" applyBorder="1" applyAlignment="1">
      <alignment horizontal="left" vertical="center" wrapText="1"/>
    </xf>
    <xf numFmtId="0" fontId="13" fillId="13" borderId="1" xfId="0" applyFont="1" applyFill="1" applyBorder="1" applyAlignment="1">
      <alignment horizontal="left" vertical="center" wrapText="1"/>
    </xf>
    <xf numFmtId="49" fontId="13" fillId="0" borderId="25" xfId="0" applyNumberFormat="1" applyFont="1" applyBorder="1" applyAlignment="1">
      <alignment horizontal="left" vertical="center" wrapText="1"/>
    </xf>
    <xf numFmtId="0" fontId="11" fillId="24" borderId="1" xfId="0" applyFont="1" applyFill="1" applyBorder="1" applyAlignment="1">
      <alignment horizontal="left" vertical="center"/>
    </xf>
    <xf numFmtId="49" fontId="13" fillId="0" borderId="12" xfId="0" applyNumberFormat="1" applyFont="1" applyBorder="1" applyAlignment="1">
      <alignment horizontal="left" vertical="center" wrapText="1"/>
    </xf>
    <xf numFmtId="0" fontId="14" fillId="14" borderId="10" xfId="0" applyFont="1" applyFill="1" applyBorder="1" applyAlignment="1">
      <alignment horizontal="left" vertical="center" wrapText="1"/>
    </xf>
    <xf numFmtId="0" fontId="14" fillId="8" borderId="10" xfId="0" applyFont="1" applyFill="1" applyBorder="1" applyAlignment="1">
      <alignment horizontal="left" vertical="center" wrapText="1"/>
    </xf>
    <xf numFmtId="0" fontId="14" fillId="8" borderId="16" xfId="0" applyFont="1" applyFill="1" applyBorder="1" applyAlignment="1">
      <alignment horizontal="left" vertical="center" wrapText="1"/>
    </xf>
    <xf numFmtId="0" fontId="13" fillId="0" borderId="0" xfId="0" applyFont="1" applyAlignment="1">
      <alignment horizontal="left" vertical="center" wrapText="1"/>
    </xf>
    <xf numFmtId="0" fontId="11" fillId="20" borderId="31" xfId="0" applyFont="1" applyFill="1" applyBorder="1" applyAlignment="1">
      <alignment horizontal="left" vertical="center" wrapText="1"/>
    </xf>
    <xf numFmtId="0" fontId="13" fillId="0" borderId="32" xfId="0" applyFont="1" applyBorder="1" applyAlignment="1">
      <alignment horizontal="left" vertical="center" wrapText="1"/>
    </xf>
    <xf numFmtId="0" fontId="11" fillId="26" borderId="11" xfId="0" applyFont="1" applyFill="1" applyBorder="1" applyAlignment="1"/>
    <xf numFmtId="0" fontId="13" fillId="0" borderId="33" xfId="0" applyFont="1" applyBorder="1" applyAlignment="1">
      <alignment vertical="center" wrapText="1"/>
    </xf>
    <xf numFmtId="0" fontId="11" fillId="26" borderId="21" xfId="0" applyFont="1" applyFill="1" applyBorder="1" applyAlignment="1"/>
    <xf numFmtId="0" fontId="13" fillId="0" borderId="34" xfId="0" applyFont="1" applyBorder="1" applyAlignment="1">
      <alignment horizontal="left" vertical="center" wrapText="1"/>
    </xf>
    <xf numFmtId="0" fontId="13" fillId="26" borderId="21" xfId="0" applyFont="1" applyFill="1" applyBorder="1" applyAlignment="1">
      <alignment horizontal="left" vertical="center" wrapText="1"/>
    </xf>
    <xf numFmtId="0" fontId="11" fillId="26" borderId="21" xfId="0" applyFont="1" applyFill="1" applyBorder="1" applyAlignment="1">
      <alignment wrapText="1"/>
    </xf>
    <xf numFmtId="0" fontId="13" fillId="0" borderId="33" xfId="0" applyFont="1" applyBorder="1" applyAlignment="1">
      <alignment horizontal="left" vertical="center" wrapText="1"/>
    </xf>
    <xf numFmtId="0" fontId="11" fillId="26" borderId="14" xfId="0" applyFont="1" applyFill="1" applyBorder="1" applyAlignment="1">
      <alignment wrapText="1"/>
    </xf>
    <xf numFmtId="0" fontId="14" fillId="20" borderId="35" xfId="0" applyFont="1" applyFill="1" applyBorder="1" applyAlignment="1">
      <alignment horizontal="left" vertical="center" wrapText="1"/>
    </xf>
    <xf numFmtId="0" fontId="14" fillId="0" borderId="10" xfId="0" applyFont="1" applyBorder="1" applyAlignment="1">
      <alignment horizontal="left" vertical="center"/>
    </xf>
    <xf numFmtId="0" fontId="14" fillId="0" borderId="10" xfId="0" applyFont="1" applyBorder="1" applyAlignment="1">
      <alignment horizontal="center" vertical="center"/>
    </xf>
    <xf numFmtId="0" fontId="14" fillId="0" borderId="36" xfId="0" applyFont="1" applyBorder="1" applyAlignment="1">
      <alignment horizontal="left" vertical="center" wrapText="1"/>
    </xf>
    <xf numFmtId="0" fontId="11" fillId="8" borderId="10" xfId="0" applyFont="1" applyFill="1" applyBorder="1" applyAlignment="1">
      <alignment horizontal="center" vertical="center"/>
    </xf>
    <xf numFmtId="0" fontId="11" fillId="8" borderId="1" xfId="0" applyFont="1" applyFill="1" applyBorder="1" applyAlignment="1">
      <alignment horizontal="center" vertical="center"/>
    </xf>
    <xf numFmtId="0" fontId="11" fillId="0" borderId="10" xfId="0" applyFont="1" applyBorder="1" applyAlignment="1">
      <alignment horizontal="center" vertical="center"/>
    </xf>
    <xf numFmtId="0" fontId="14" fillId="8" borderId="1" xfId="0" applyFont="1" applyFill="1" applyBorder="1" applyAlignment="1">
      <alignment horizontal="center" vertical="center"/>
    </xf>
    <xf numFmtId="0" fontId="14" fillId="8" borderId="1" xfId="0" applyFont="1" applyFill="1" applyBorder="1" applyAlignment="1">
      <alignment horizontal="left" vertical="center"/>
    </xf>
    <xf numFmtId="0" fontId="14" fillId="8" borderId="15" xfId="0" applyFont="1" applyFill="1" applyBorder="1" applyAlignment="1">
      <alignment horizontal="left" vertical="center" wrapText="1"/>
    </xf>
    <xf numFmtId="0" fontId="14" fillId="0" borderId="16" xfId="0" applyFont="1" applyBorder="1" applyAlignment="1">
      <alignment horizontal="left" vertical="center"/>
    </xf>
    <xf numFmtId="0" fontId="14" fillId="20" borderId="23" xfId="0" applyFont="1" applyFill="1" applyBorder="1" applyAlignment="1">
      <alignment horizontal="left" vertical="center" wrapText="1"/>
    </xf>
    <xf numFmtId="0" fontId="14" fillId="20" borderId="31" xfId="0" applyFont="1" applyFill="1" applyBorder="1" applyAlignment="1">
      <alignment horizontal="left" vertical="center" wrapText="1"/>
    </xf>
    <xf numFmtId="0" fontId="14" fillId="20" borderId="5" xfId="0" applyFont="1" applyFill="1" applyBorder="1" applyAlignment="1">
      <alignment horizontal="left" vertical="center" wrapText="1"/>
    </xf>
    <xf numFmtId="0" fontId="14" fillId="0" borderId="37"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1" xfId="0" applyFont="1" applyBorder="1" applyAlignment="1">
      <alignment horizontal="left" vertical="center" wrapText="1"/>
    </xf>
    <xf numFmtId="0" fontId="11" fillId="8" borderId="38"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1" fillId="8" borderId="34" xfId="0" applyFont="1" applyFill="1" applyBorder="1" applyAlignment="1">
      <alignment horizontal="center" vertical="center" wrapText="1"/>
    </xf>
    <xf numFmtId="0" fontId="11" fillId="8" borderId="21" xfId="0" applyFont="1" applyFill="1" applyBorder="1" applyAlignment="1">
      <alignment horizontal="center" vertical="center" wrapText="1"/>
    </xf>
    <xf numFmtId="0" fontId="14" fillId="8" borderId="38" xfId="0" applyFont="1" applyFill="1" applyBorder="1" applyAlignment="1">
      <alignment horizontal="left" vertical="center" wrapText="1"/>
    </xf>
    <xf numFmtId="0" fontId="14" fillId="8" borderId="34" xfId="0" applyFont="1" applyFill="1" applyBorder="1" applyAlignment="1">
      <alignment horizontal="left" vertical="center" wrapText="1"/>
    </xf>
    <xf numFmtId="0" fontId="14" fillId="8" borderId="21" xfId="0" applyFont="1" applyFill="1" applyBorder="1" applyAlignment="1">
      <alignment horizontal="left" vertical="center" wrapText="1"/>
    </xf>
    <xf numFmtId="0" fontId="14" fillId="0" borderId="39" xfId="0" applyFont="1" applyBorder="1" applyAlignment="1">
      <alignment horizontal="left" vertical="center" wrapText="1"/>
    </xf>
    <xf numFmtId="0" fontId="14" fillId="0" borderId="40" xfId="0" applyFont="1" applyBorder="1" applyAlignment="1">
      <alignment horizontal="left" vertical="center" wrapText="1"/>
    </xf>
    <xf numFmtId="0" fontId="14" fillId="0" borderId="29" xfId="0" applyFont="1" applyBorder="1" applyAlignment="1">
      <alignment horizontal="left" vertical="center" wrapText="1"/>
    </xf>
    <xf numFmtId="0" fontId="18" fillId="17" borderId="28" xfId="0" applyFont="1" applyFill="1" applyBorder="1">
      <alignment vertical="center"/>
    </xf>
    <xf numFmtId="0" fontId="18" fillId="17" borderId="16" xfId="0" applyFont="1" applyFill="1" applyBorder="1" applyAlignment="1">
      <alignment horizontal="left" vertical="center"/>
    </xf>
    <xf numFmtId="176" fontId="18" fillId="17" borderId="16" xfId="0" applyNumberFormat="1" applyFont="1" applyFill="1" applyBorder="1" applyAlignment="1">
      <alignment horizontal="left" vertical="center"/>
    </xf>
    <xf numFmtId="176" fontId="18" fillId="17" borderId="29" xfId="0" applyNumberFormat="1" applyFont="1" applyFill="1" applyBorder="1" applyAlignment="1">
      <alignment horizontal="left" vertical="center"/>
    </xf>
    <xf numFmtId="0" fontId="0" fillId="18" borderId="1" xfId="0" applyFill="1" applyBorder="1" applyAlignment="1">
      <alignment horizontal="center" vertical="center"/>
    </xf>
    <xf numFmtId="0" fontId="0" fillId="18" borderId="1" xfId="0" applyFill="1" applyBorder="1">
      <alignment vertical="center"/>
    </xf>
    <xf numFmtId="0" fontId="0" fillId="28" borderId="1" xfId="0" applyFill="1" applyBorder="1" applyAlignment="1">
      <alignment horizontal="center" vertical="center"/>
    </xf>
    <xf numFmtId="0" fontId="0" fillId="28" borderId="1" xfId="0" applyFill="1" applyBorder="1">
      <alignment vertical="center"/>
    </xf>
    <xf numFmtId="0" fontId="0" fillId="0" borderId="0" xfId="0" applyAlignment="1">
      <alignment horizontal="center" vertical="center"/>
    </xf>
    <xf numFmtId="0" fontId="0" fillId="28" borderId="0" xfId="0" applyFill="1" applyAlignment="1">
      <alignment horizontal="center" vertical="center"/>
    </xf>
    <xf numFmtId="0" fontId="11" fillId="0" borderId="0" xfId="0" applyFont="1">
      <alignment vertical="center"/>
    </xf>
    <xf numFmtId="0" fontId="11" fillId="0" borderId="0" xfId="0" applyFont="1" applyAlignment="1">
      <alignment horizontal="center" vertical="center"/>
    </xf>
    <xf numFmtId="49" fontId="13" fillId="0" borderId="28" xfId="0" applyNumberFormat="1" applyFont="1" applyBorder="1" applyAlignment="1">
      <alignment horizontal="left" vertical="center" wrapText="1"/>
    </xf>
    <xf numFmtId="49" fontId="13" fillId="14" borderId="12" xfId="0" applyNumberFormat="1" applyFont="1" applyFill="1" applyBorder="1" applyAlignment="1">
      <alignment vertical="center" wrapText="1"/>
    </xf>
    <xf numFmtId="0" fontId="13" fillId="14" borderId="10" xfId="0" applyFont="1" applyFill="1" applyBorder="1" applyAlignment="1">
      <alignment horizontal="left" vertical="center" wrapText="1"/>
    </xf>
    <xf numFmtId="49" fontId="11" fillId="14" borderId="1" xfId="0" applyNumberFormat="1" applyFont="1" applyFill="1" applyBorder="1" applyAlignment="1">
      <alignment horizontal="left" vertical="center" wrapText="1"/>
    </xf>
    <xf numFmtId="0" fontId="13" fillId="24" borderId="1" xfId="0" applyFont="1" applyFill="1" applyBorder="1" applyAlignment="1">
      <alignment horizontal="left" vertical="center"/>
    </xf>
    <xf numFmtId="0" fontId="13" fillId="0" borderId="1" xfId="5" applyFont="1" applyBorder="1" applyAlignment="1">
      <alignment vertical="center" wrapText="1"/>
    </xf>
    <xf numFmtId="0" fontId="13" fillId="14" borderId="1" xfId="0" applyFont="1" applyFill="1" applyBorder="1" applyAlignment="1">
      <alignment horizontal="left" vertical="center" wrapText="1"/>
    </xf>
    <xf numFmtId="0" fontId="13" fillId="14" borderId="33" xfId="0" applyFont="1" applyFill="1" applyBorder="1" applyAlignment="1">
      <alignment vertical="center" wrapText="1"/>
    </xf>
    <xf numFmtId="0" fontId="21" fillId="18" borderId="1" xfId="10" applyFont="1" applyFill="1" applyBorder="1" applyAlignment="1">
      <alignment horizontal="left" vertical="center" wrapText="1"/>
    </xf>
    <xf numFmtId="0" fontId="21" fillId="18" borderId="1" xfId="10" applyFont="1" applyFill="1" applyBorder="1" applyAlignment="1" applyProtection="1">
      <alignment horizontal="left" vertical="center" wrapText="1"/>
      <protection locked="0"/>
    </xf>
    <xf numFmtId="0" fontId="14" fillId="0" borderId="25" xfId="0" applyFont="1" applyBorder="1" applyAlignment="1">
      <alignment horizontal="left" vertical="center" wrapText="1"/>
    </xf>
    <xf numFmtId="0" fontId="14" fillId="0" borderId="1" xfId="0" applyFont="1" applyBorder="1" applyAlignment="1">
      <alignment horizontal="left" vertical="center"/>
    </xf>
    <xf numFmtId="0" fontId="14" fillId="14" borderId="1" xfId="0" applyFont="1" applyFill="1" applyBorder="1" applyAlignment="1">
      <alignment horizontal="left" vertical="center"/>
    </xf>
    <xf numFmtId="0" fontId="14" fillId="14" borderId="1" xfId="0" applyFont="1" applyFill="1" applyBorder="1" applyAlignment="1">
      <alignment horizontal="left" vertical="center" wrapText="1"/>
    </xf>
    <xf numFmtId="0" fontId="14" fillId="0" borderId="32" xfId="0" applyFont="1" applyBorder="1" applyAlignment="1">
      <alignment horizontal="left" vertical="center" wrapText="1"/>
    </xf>
    <xf numFmtId="0" fontId="14" fillId="14" borderId="34" xfId="0" applyFont="1" applyFill="1" applyBorder="1" applyAlignment="1">
      <alignment horizontal="left" vertical="center" wrapText="1"/>
    </xf>
    <xf numFmtId="0" fontId="14" fillId="14" borderId="21" xfId="0" applyFont="1" applyFill="1" applyBorder="1" applyAlignment="1">
      <alignment horizontal="left" vertical="center" wrapText="1"/>
    </xf>
    <xf numFmtId="0" fontId="22" fillId="0" borderId="0" xfId="7" applyAlignment="1">
      <alignment horizontal="left" vertical="center" wrapText="1"/>
    </xf>
    <xf numFmtId="0" fontId="23" fillId="0" borderId="0" xfId="0" applyFont="1" applyAlignment="1"/>
    <xf numFmtId="0" fontId="15" fillId="0" borderId="0" xfId="7" applyFont="1" applyAlignment="1">
      <alignment horizontal="left" vertical="center"/>
    </xf>
    <xf numFmtId="0" fontId="24" fillId="3" borderId="2" xfId="0" applyFont="1" applyFill="1" applyBorder="1" applyAlignment="1">
      <alignment vertical="center" wrapText="1"/>
    </xf>
    <xf numFmtId="0" fontId="24" fillId="4" borderId="2" xfId="0" applyFont="1" applyFill="1" applyBorder="1" applyAlignment="1">
      <alignment horizontal="left" vertical="center" wrapText="1"/>
    </xf>
    <xf numFmtId="0" fontId="23" fillId="0" borderId="0" xfId="0" applyFont="1" applyAlignment="1">
      <alignment wrapText="1"/>
    </xf>
    <xf numFmtId="0" fontId="23" fillId="20" borderId="3" xfId="0" applyFont="1" applyFill="1" applyBorder="1" applyAlignment="1">
      <alignment horizontal="left" vertical="center" wrapText="1"/>
    </xf>
    <xf numFmtId="0" fontId="23" fillId="20" borderId="4" xfId="0" applyFont="1" applyFill="1" applyBorder="1" applyAlignment="1">
      <alignment horizontal="left" vertical="center" wrapText="1"/>
    </xf>
    <xf numFmtId="0" fontId="23" fillId="20" borderId="5" xfId="0" applyFont="1" applyFill="1" applyBorder="1" applyAlignment="1">
      <alignment horizontal="left" vertical="center" wrapText="1"/>
    </xf>
    <xf numFmtId="0" fontId="23" fillId="20" borderId="3" xfId="0" applyFont="1" applyFill="1" applyBorder="1" applyAlignment="1">
      <alignment vertical="center" wrapText="1"/>
    </xf>
    <xf numFmtId="0" fontId="23" fillId="20" borderId="4" xfId="0" applyFont="1" applyFill="1" applyBorder="1" applyAlignment="1">
      <alignment vertical="center" wrapText="1"/>
    </xf>
    <xf numFmtId="0" fontId="23" fillId="0" borderId="9" xfId="0" applyFont="1" applyBorder="1" applyAlignment="1">
      <alignment horizontal="left" vertical="center" wrapText="1"/>
    </xf>
    <xf numFmtId="0" fontId="23" fillId="0" borderId="10" xfId="0" applyFont="1" applyBorder="1" applyAlignment="1">
      <alignment horizontal="left" vertical="center" wrapText="1"/>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21" borderId="7" xfId="0" applyFont="1" applyFill="1" applyBorder="1" applyAlignment="1">
      <alignment horizontal="left" vertical="center" wrapText="1"/>
    </xf>
    <xf numFmtId="0" fontId="23" fillId="8" borderId="8" xfId="0" applyFont="1" applyFill="1" applyBorder="1" applyAlignment="1">
      <alignment horizontal="left" vertical="center" wrapText="1"/>
    </xf>
    <xf numFmtId="0" fontId="23" fillId="0" borderId="25" xfId="0" applyFont="1" applyBorder="1" applyAlignment="1">
      <alignment horizontal="left" vertical="center" wrapText="1"/>
    </xf>
    <xf numFmtId="0" fontId="23" fillId="0" borderId="1" xfId="0" applyFont="1" applyBorder="1" applyAlignment="1">
      <alignment horizontal="left" vertical="center"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23" fillId="22" borderId="10" xfId="0" applyFont="1" applyFill="1" applyBorder="1" applyAlignment="1">
      <alignment horizontal="left" vertical="center" wrapText="1"/>
    </xf>
    <xf numFmtId="0" fontId="25" fillId="8" borderId="11" xfId="0" applyFont="1" applyFill="1" applyBorder="1" applyAlignment="1">
      <alignment horizontal="left" vertical="center" wrapText="1"/>
    </xf>
    <xf numFmtId="0" fontId="23" fillId="21" borderId="10" xfId="0" applyFont="1" applyFill="1" applyBorder="1" applyAlignment="1">
      <alignment horizontal="left" vertical="center" wrapText="1"/>
    </xf>
    <xf numFmtId="0" fontId="23" fillId="21" borderId="13" xfId="0" applyFont="1" applyFill="1" applyBorder="1" applyAlignment="1">
      <alignment horizontal="left" vertical="center" wrapText="1"/>
    </xf>
    <xf numFmtId="0" fontId="25" fillId="8" borderId="14" xfId="0" applyFont="1" applyFill="1" applyBorder="1" applyAlignment="1">
      <alignment horizontal="left" vertical="center" wrapText="1"/>
    </xf>
    <xf numFmtId="0" fontId="23" fillId="22" borderId="1" xfId="0" applyFont="1" applyFill="1" applyBorder="1" applyAlignment="1">
      <alignment horizontal="left" vertical="center" wrapText="1"/>
    </xf>
    <xf numFmtId="0" fontId="26" fillId="8" borderId="21" xfId="0" applyFont="1" applyFill="1" applyBorder="1" applyAlignment="1">
      <alignment horizontal="left" vertical="center" wrapText="1"/>
    </xf>
    <xf numFmtId="0" fontId="25" fillId="0" borderId="1" xfId="0" applyFont="1" applyBorder="1" applyAlignment="1">
      <alignment horizontal="left" vertical="center" wrapText="1"/>
    </xf>
    <xf numFmtId="0" fontId="25" fillId="0" borderId="15" xfId="0" applyFont="1" applyBorder="1" applyAlignment="1">
      <alignment horizontal="left" vertical="center" wrapText="1"/>
    </xf>
    <xf numFmtId="0" fontId="25" fillId="22" borderId="1" xfId="0" applyFont="1" applyFill="1" applyBorder="1" applyAlignment="1">
      <alignment horizontal="left" vertical="center" wrapText="1"/>
    </xf>
    <xf numFmtId="0" fontId="25" fillId="0" borderId="13" xfId="0" applyFont="1" applyBorder="1" applyAlignment="1">
      <alignment horizontal="left" vertical="center" wrapText="1"/>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5" fillId="22" borderId="13" xfId="0" applyFont="1" applyFill="1" applyBorder="1" applyAlignment="1">
      <alignment horizontal="left" vertical="center"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0" fontId="23" fillId="8" borderId="21" xfId="0" applyFont="1" applyFill="1" applyBorder="1" applyAlignment="1">
      <alignment horizontal="left" vertical="center" wrapText="1"/>
    </xf>
    <xf numFmtId="0" fontId="23" fillId="22" borderId="7" xfId="0" applyFont="1" applyFill="1" applyBorder="1" applyAlignment="1">
      <alignment horizontal="left" vertical="center" wrapText="1"/>
    </xf>
    <xf numFmtId="0" fontId="25" fillId="0" borderId="25" xfId="0" applyFont="1" applyBorder="1" applyAlignment="1">
      <alignment horizontal="left" vertical="center" wrapText="1"/>
    </xf>
    <xf numFmtId="0" fontId="23" fillId="8" borderId="11" xfId="0" applyFont="1" applyFill="1" applyBorder="1" applyAlignment="1">
      <alignment horizontal="left" vertical="center" wrapText="1"/>
    </xf>
    <xf numFmtId="0" fontId="25" fillId="21" borderId="1" xfId="0" applyFont="1" applyFill="1" applyBorder="1" applyAlignment="1">
      <alignment horizontal="left" vertical="center" wrapText="1"/>
    </xf>
    <xf numFmtId="0" fontId="25" fillId="8" borderId="21" xfId="0" applyFont="1" applyFill="1" applyBorder="1" applyAlignment="1">
      <alignment horizontal="left" vertical="center" wrapText="1"/>
    </xf>
    <xf numFmtId="0" fontId="25" fillId="0" borderId="25" xfId="0" applyFont="1" applyBorder="1" applyAlignment="1">
      <alignment vertical="center" wrapText="1"/>
    </xf>
    <xf numFmtId="0" fontId="25" fillId="0" borderId="1" xfId="5" applyFont="1" applyBorder="1" applyAlignment="1">
      <alignment vertical="center"/>
    </xf>
    <xf numFmtId="0" fontId="25" fillId="0" borderId="12" xfId="0" applyFont="1" applyBorder="1" applyAlignment="1">
      <alignment vertical="center" wrapText="1"/>
    </xf>
    <xf numFmtId="0" fontId="25" fillId="0" borderId="13" xfId="5" applyFont="1" applyBorder="1" applyAlignment="1">
      <alignment vertical="center"/>
    </xf>
    <xf numFmtId="0" fontId="25" fillId="0" borderId="12" xfId="0" applyFont="1" applyBorder="1" applyAlignment="1">
      <alignment horizontal="left" vertical="center" wrapText="1"/>
    </xf>
    <xf numFmtId="0" fontId="25" fillId="21" borderId="13" xfId="0" applyFont="1" applyFill="1" applyBorder="1" applyAlignment="1">
      <alignment horizontal="left" vertical="center" wrapText="1"/>
    </xf>
    <xf numFmtId="0" fontId="25" fillId="0" borderId="9" xfId="0" applyFont="1" applyBorder="1" applyAlignment="1">
      <alignment vertical="center" wrapText="1"/>
    </xf>
    <xf numFmtId="0" fontId="25" fillId="0" borderId="10" xfId="5" applyFont="1" applyBorder="1" applyAlignment="1">
      <alignment vertical="center" wrapText="1"/>
    </xf>
    <xf numFmtId="0" fontId="23" fillId="0" borderId="0" xfId="0" applyFont="1" applyAlignment="1">
      <alignment horizontal="left" vertical="center" wrapText="1"/>
    </xf>
    <xf numFmtId="0" fontId="23" fillId="23" borderId="5" xfId="0" applyFont="1" applyFill="1" applyBorder="1" applyAlignment="1">
      <alignment vertical="center" wrapText="1"/>
    </xf>
    <xf numFmtId="0" fontId="23" fillId="20" borderId="41" xfId="0" applyFont="1" applyFill="1" applyBorder="1" applyAlignment="1">
      <alignment horizontal="left" vertical="center" wrapText="1"/>
    </xf>
    <xf numFmtId="0" fontId="23" fillId="20" borderId="42" xfId="0" applyFont="1" applyFill="1" applyBorder="1" applyAlignment="1">
      <alignment horizontal="left" vertical="center" wrapText="1"/>
    </xf>
    <xf numFmtId="0" fontId="25" fillId="24" borderId="10" xfId="0" applyFont="1" applyFill="1" applyBorder="1" applyAlignment="1">
      <alignment horizontal="left" vertical="center" wrapText="1"/>
    </xf>
    <xf numFmtId="0" fontId="23" fillId="0" borderId="44" xfId="0" applyFont="1" applyBorder="1" applyAlignment="1">
      <alignment horizontal="left" vertical="center" wrapText="1"/>
    </xf>
    <xf numFmtId="0" fontId="23" fillId="0" borderId="45" xfId="0" applyFont="1" applyBorder="1" applyAlignment="1">
      <alignment horizontal="left" vertical="center" wrapText="1"/>
    </xf>
    <xf numFmtId="0" fontId="23" fillId="29" borderId="45" xfId="0" applyFont="1" applyFill="1" applyBorder="1" applyAlignment="1">
      <alignment horizontal="left" vertical="center" wrapText="1"/>
    </xf>
    <xf numFmtId="0" fontId="23" fillId="0" borderId="1" xfId="0" applyFont="1" applyBorder="1" applyAlignment="1">
      <alignment vertical="center" wrapText="1"/>
    </xf>
    <xf numFmtId="0" fontId="25" fillId="24" borderId="1" xfId="0" applyFont="1" applyFill="1" applyBorder="1" applyAlignment="1">
      <alignment horizontal="left" vertical="center" wrapText="1"/>
    </xf>
    <xf numFmtId="0" fontId="23" fillId="29" borderId="1" xfId="0" applyFont="1" applyFill="1" applyBorder="1" applyAlignment="1">
      <alignment horizontal="left" vertical="center" wrapText="1"/>
    </xf>
    <xf numFmtId="2" fontId="25" fillId="24" borderId="13" xfId="0" applyNumberFormat="1" applyFont="1" applyFill="1" applyBorder="1" applyAlignment="1">
      <alignment horizontal="left" vertical="center" wrapText="1"/>
    </xf>
    <xf numFmtId="0" fontId="23" fillId="0" borderId="11" xfId="0" applyFont="1" applyBorder="1" applyAlignment="1">
      <alignment horizontal="left" vertical="center"/>
    </xf>
    <xf numFmtId="0" fontId="26" fillId="24" borderId="1" xfId="0" applyFont="1" applyFill="1" applyBorder="1" applyAlignment="1">
      <alignment horizontal="left" vertical="center" wrapText="1"/>
    </xf>
    <xf numFmtId="0" fontId="23" fillId="0" borderId="21" xfId="0" applyFont="1" applyBorder="1" applyAlignment="1">
      <alignment horizontal="left" vertical="center"/>
    </xf>
    <xf numFmtId="0" fontId="23" fillId="0" borderId="21" xfId="0" applyFont="1" applyBorder="1" applyAlignment="1">
      <alignment horizontal="left" vertical="center" wrapText="1"/>
    </xf>
    <xf numFmtId="0" fontId="23" fillId="24" borderId="13" xfId="0" applyFont="1" applyFill="1" applyBorder="1" applyAlignment="1">
      <alignment horizontal="left" vertical="center" wrapText="1"/>
    </xf>
    <xf numFmtId="0" fontId="25" fillId="0" borderId="21" xfId="0" applyFont="1" applyBorder="1" applyAlignment="1">
      <alignment horizontal="left" vertical="center" wrapText="1"/>
    </xf>
    <xf numFmtId="0" fontId="23" fillId="0" borderId="14" xfId="0" applyFont="1" applyBorder="1" applyAlignment="1">
      <alignment horizontal="left" vertical="center" wrapText="1"/>
    </xf>
    <xf numFmtId="0" fontId="26" fillId="0" borderId="21" xfId="0" applyFont="1" applyBorder="1" applyAlignment="1">
      <alignment horizontal="left" vertical="center"/>
    </xf>
    <xf numFmtId="0" fontId="23" fillId="25" borderId="1" xfId="0" applyFont="1" applyFill="1" applyBorder="1" applyAlignment="1">
      <alignment horizontal="left" vertical="center" wrapText="1"/>
    </xf>
    <xf numFmtId="0" fontId="26" fillId="0" borderId="25" xfId="0" applyFont="1" applyBorder="1" applyAlignment="1">
      <alignment horizontal="left" vertical="center" wrapText="1"/>
    </xf>
    <xf numFmtId="0" fontId="26" fillId="0" borderId="1" xfId="0" applyFont="1" applyBorder="1" applyAlignment="1">
      <alignment horizontal="left" vertical="center" wrapText="1"/>
    </xf>
    <xf numFmtId="0" fontId="25" fillId="0" borderId="11" xfId="0" applyFont="1" applyBorder="1" applyAlignment="1">
      <alignment horizontal="left" vertical="center" wrapText="1"/>
    </xf>
    <xf numFmtId="0" fontId="25" fillId="24" borderId="13" xfId="0" applyFont="1" applyFill="1" applyBorder="1" applyAlignment="1">
      <alignment horizontal="left" vertical="center" wrapText="1"/>
    </xf>
    <xf numFmtId="0" fontId="25" fillId="0" borderId="14" xfId="0" applyFont="1" applyBorder="1" applyAlignment="1">
      <alignment horizontal="left" vertical="center" wrapText="1"/>
    </xf>
    <xf numFmtId="0" fontId="25" fillId="23" borderId="9" xfId="0" applyFont="1" applyFill="1" applyBorder="1" applyAlignment="1">
      <alignment horizontal="left" vertical="center" wrapText="1"/>
    </xf>
    <xf numFmtId="0" fontId="25" fillId="23" borderId="10" xfId="0" applyFont="1" applyFill="1" applyBorder="1" applyAlignment="1">
      <alignment horizontal="left" vertical="center" wrapText="1"/>
    </xf>
    <xf numFmtId="0" fontId="23" fillId="23" borderId="43" xfId="0" applyFont="1" applyFill="1" applyBorder="1" applyAlignment="1">
      <alignment horizontal="left" vertical="center" wrapText="1"/>
    </xf>
    <xf numFmtId="0" fontId="25" fillId="8" borderId="25" xfId="0" applyFont="1" applyFill="1" applyBorder="1" applyAlignment="1">
      <alignment horizontal="left" vertical="center" wrapText="1"/>
    </xf>
    <xf numFmtId="0" fontId="23" fillId="0" borderId="47" xfId="0" applyFont="1" applyBorder="1" applyAlignment="1">
      <alignment horizontal="left" vertical="center" wrapText="1"/>
    </xf>
    <xf numFmtId="0" fontId="23" fillId="0" borderId="0" xfId="0" applyFont="1" applyAlignment="1">
      <alignment horizontal="left" vertical="center"/>
    </xf>
    <xf numFmtId="0" fontId="23" fillId="20" borderId="31" xfId="0" applyFont="1" applyFill="1" applyBorder="1" applyAlignment="1">
      <alignment horizontal="left" vertical="center" wrapText="1"/>
    </xf>
    <xf numFmtId="0" fontId="25" fillId="31" borderId="10" xfId="0" applyFont="1" applyFill="1" applyBorder="1" applyAlignment="1">
      <alignment horizontal="left" vertical="center" wrapText="1"/>
    </xf>
    <xf numFmtId="0" fontId="25" fillId="25" borderId="34" xfId="0" applyFont="1" applyFill="1" applyBorder="1" applyAlignment="1">
      <alignment horizontal="left" vertical="center" wrapText="1"/>
    </xf>
    <xf numFmtId="0" fontId="25" fillId="27" borderId="21" xfId="0" applyFont="1" applyFill="1" applyBorder="1" applyAlignment="1">
      <alignment horizontal="left" vertical="center" wrapText="1"/>
    </xf>
    <xf numFmtId="0" fontId="25" fillId="0" borderId="0" xfId="0" applyFont="1" applyAlignment="1">
      <alignment horizontal="left" vertical="center" wrapText="1"/>
    </xf>
    <xf numFmtId="0" fontId="23" fillId="23" borderId="10" xfId="0" applyFont="1" applyFill="1" applyBorder="1" applyAlignment="1">
      <alignment horizontal="left" vertical="center" wrapText="1"/>
    </xf>
    <xf numFmtId="0" fontId="23" fillId="31" borderId="1" xfId="0" applyFont="1" applyFill="1" applyBorder="1" applyAlignment="1">
      <alignment horizontal="left" vertical="center" wrapText="1"/>
    </xf>
    <xf numFmtId="0" fontId="24" fillId="32" borderId="2" xfId="0" applyFont="1" applyFill="1" applyBorder="1" applyAlignment="1">
      <alignment vertical="center" wrapText="1"/>
    </xf>
    <xf numFmtId="0" fontId="25" fillId="31" borderId="1"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7" xfId="0" applyFont="1" applyBorder="1" applyAlignment="1">
      <alignment horizontal="left" vertical="center"/>
    </xf>
    <xf numFmtId="0" fontId="25" fillId="21" borderId="7" xfId="0" applyFont="1" applyFill="1" applyBorder="1" applyAlignment="1">
      <alignment horizontal="left" vertical="center" wrapText="1"/>
    </xf>
    <xf numFmtId="0" fontId="25" fillId="8" borderId="8" xfId="0" applyFont="1" applyFill="1" applyBorder="1" applyAlignment="1">
      <alignment horizontal="left" vertical="center" wrapText="1"/>
    </xf>
    <xf numFmtId="0" fontId="25" fillId="0" borderId="28" xfId="0" applyFont="1" applyBorder="1" applyAlignment="1">
      <alignment vertical="center" wrapText="1"/>
    </xf>
    <xf numFmtId="0" fontId="25" fillId="0" borderId="16" xfId="5" applyFont="1" applyBorder="1" applyAlignment="1">
      <alignment vertical="center" wrapText="1"/>
    </xf>
    <xf numFmtId="0" fontId="26" fillId="0" borderId="6" xfId="0" applyFont="1" applyBorder="1" applyAlignment="1">
      <alignment horizontal="left" vertical="center" wrapText="1"/>
    </xf>
    <xf numFmtId="0" fontId="26" fillId="0" borderId="7" xfId="0" applyFont="1" applyBorder="1" applyAlignment="1">
      <alignment horizontal="left" vertical="center" wrapText="1"/>
    </xf>
    <xf numFmtId="0" fontId="26" fillId="0" borderId="7" xfId="0" applyFont="1" applyBorder="1" applyAlignment="1">
      <alignment horizontal="left" vertical="center"/>
    </xf>
    <xf numFmtId="0" fontId="26" fillId="21" borderId="7" xfId="0" applyFont="1" applyFill="1" applyBorder="1" applyAlignment="1">
      <alignment horizontal="left" vertical="center" wrapText="1"/>
    </xf>
    <xf numFmtId="0" fontId="26" fillId="8" borderId="8" xfId="0" applyFont="1" applyFill="1" applyBorder="1" applyAlignment="1">
      <alignment horizontal="left" vertical="center" wrapText="1"/>
    </xf>
    <xf numFmtId="0" fontId="25" fillId="0" borderId="26" xfId="0" applyFont="1" applyBorder="1" applyAlignment="1">
      <alignment vertical="center" wrapText="1"/>
    </xf>
    <xf numFmtId="0" fontId="25" fillId="0" borderId="27" xfId="5" applyFont="1" applyBorder="1" applyAlignment="1">
      <alignment vertical="center" wrapText="1"/>
    </xf>
    <xf numFmtId="0" fontId="25" fillId="0" borderId="10" xfId="0" applyFont="1" applyBorder="1" applyAlignment="1">
      <alignment horizontal="left" vertical="center"/>
    </xf>
    <xf numFmtId="0" fontId="25" fillId="21" borderId="10" xfId="0" applyFont="1" applyFill="1" applyBorder="1" applyAlignment="1">
      <alignment horizontal="left" vertical="center" wrapText="1"/>
    </xf>
    <xf numFmtId="0" fontId="25" fillId="0" borderId="1" xfId="0" applyFont="1" applyBorder="1" applyAlignment="1">
      <alignment horizontal="left" vertical="center"/>
    </xf>
    <xf numFmtId="0" fontId="25" fillId="0" borderId="13" xfId="0" applyFont="1" applyBorder="1" applyAlignment="1">
      <alignment horizontal="left" vertical="center"/>
    </xf>
    <xf numFmtId="0" fontId="23" fillId="8" borderId="14" xfId="0" applyFont="1" applyFill="1" applyBorder="1" applyAlignment="1">
      <alignment horizontal="left" vertical="center" wrapText="1"/>
    </xf>
    <xf numFmtId="0" fontId="23" fillId="0" borderId="28" xfId="0" applyFont="1" applyBorder="1" applyAlignment="1">
      <alignment horizontal="left" vertical="center" wrapText="1"/>
    </xf>
    <xf numFmtId="0" fontId="23" fillId="0" borderId="16" xfId="0" applyFont="1" applyBorder="1" applyAlignment="1">
      <alignment horizontal="left" vertical="center" wrapText="1"/>
    </xf>
    <xf numFmtId="0" fontId="23" fillId="22" borderId="16" xfId="0" applyFont="1" applyFill="1" applyBorder="1" applyAlignment="1">
      <alignment horizontal="left" vertical="center" wrapText="1"/>
    </xf>
    <xf numFmtId="0" fontId="25" fillId="0" borderId="0" xfId="0" applyFont="1" applyAlignment="1">
      <alignment vertical="center" wrapText="1"/>
    </xf>
    <xf numFmtId="0" fontId="25" fillId="0" borderId="0" xfId="5" applyFont="1" applyAlignment="1">
      <alignment vertical="center" wrapText="1"/>
    </xf>
    <xf numFmtId="0" fontId="27" fillId="17" borderId="28" xfId="0" applyFont="1" applyFill="1" applyBorder="1">
      <alignment vertical="center"/>
    </xf>
    <xf numFmtId="0" fontId="23" fillId="0" borderId="0" xfId="0" applyFont="1">
      <alignment vertical="center"/>
    </xf>
    <xf numFmtId="0" fontId="23" fillId="0" borderId="0" xfId="0" applyFont="1" applyAlignment="1">
      <alignment horizontal="center" vertical="center"/>
    </xf>
    <xf numFmtId="0" fontId="25" fillId="24" borderId="16" xfId="0" applyFont="1" applyFill="1" applyBorder="1" applyAlignment="1">
      <alignment horizontal="left" vertical="center" wrapText="1"/>
    </xf>
    <xf numFmtId="0" fontId="25" fillId="0" borderId="29" xfId="0" applyFont="1" applyBorder="1" applyAlignment="1">
      <alignment horizontal="left" vertical="center" wrapText="1"/>
    </xf>
    <xf numFmtId="0" fontId="25" fillId="0" borderId="27" xfId="0" applyFont="1" applyBorder="1" applyAlignment="1">
      <alignment horizontal="left" vertical="center" wrapText="1"/>
    </xf>
    <xf numFmtId="0" fontId="25" fillId="24" borderId="27" xfId="0" applyFont="1" applyFill="1" applyBorder="1" applyAlignment="1">
      <alignment horizontal="left" vertical="center" wrapText="1"/>
    </xf>
    <xf numFmtId="0" fontId="25" fillId="0" borderId="30" xfId="0" applyFont="1" applyBorder="1" applyAlignment="1">
      <alignment horizontal="left" vertical="center" wrapText="1"/>
    </xf>
    <xf numFmtId="0" fontId="23" fillId="24" borderId="10" xfId="0" applyFont="1" applyFill="1" applyBorder="1" applyAlignment="1">
      <alignment horizontal="left" vertical="center" wrapText="1"/>
    </xf>
    <xf numFmtId="0" fontId="23" fillId="24" borderId="1" xfId="0" applyFont="1" applyFill="1" applyBorder="1" applyAlignment="1">
      <alignment horizontal="left" vertical="center" wrapText="1"/>
    </xf>
    <xf numFmtId="0" fontId="25" fillId="25" borderId="1" xfId="0" applyFont="1" applyFill="1" applyBorder="1" applyAlignment="1">
      <alignment horizontal="left" vertical="center" wrapText="1"/>
    </xf>
    <xf numFmtId="0" fontId="25" fillId="0" borderId="21" xfId="0" applyFont="1" applyBorder="1" applyAlignment="1">
      <alignment horizontal="left" vertical="center"/>
    </xf>
    <xf numFmtId="0" fontId="25" fillId="25" borderId="16" xfId="0" applyFont="1" applyFill="1" applyBorder="1" applyAlignment="1">
      <alignment horizontal="left" vertical="center" wrapText="1"/>
    </xf>
    <xf numFmtId="0" fontId="23" fillId="0" borderId="29" xfId="0" applyFont="1" applyBorder="1" applyAlignment="1">
      <alignment horizontal="left" vertical="center" wrapText="1"/>
    </xf>
    <xf numFmtId="0" fontId="25" fillId="13" borderId="25" xfId="0" applyFont="1" applyFill="1" applyBorder="1" applyAlignment="1">
      <alignment horizontal="left" vertical="center" wrapText="1"/>
    </xf>
    <xf numFmtId="0" fontId="25" fillId="13" borderId="1" xfId="0" applyFont="1" applyFill="1" applyBorder="1" applyAlignment="1">
      <alignment horizontal="left" vertical="center" wrapText="1"/>
    </xf>
    <xf numFmtId="0" fontId="23" fillId="24" borderId="1" xfId="0" applyFont="1" applyFill="1" applyBorder="1" applyAlignment="1">
      <alignment horizontal="left" vertical="center"/>
    </xf>
    <xf numFmtId="0" fontId="25" fillId="24" borderId="1" xfId="0" applyFont="1" applyFill="1" applyBorder="1" applyAlignment="1">
      <alignment horizontal="left" vertical="center"/>
    </xf>
    <xf numFmtId="0" fontId="25" fillId="0" borderId="1" xfId="5" applyFont="1" applyBorder="1" applyAlignment="1">
      <alignment vertical="center" wrapText="1"/>
    </xf>
    <xf numFmtId="49" fontId="25" fillId="0" borderId="9" xfId="0" applyNumberFormat="1" applyFont="1" applyBorder="1" applyAlignment="1">
      <alignment horizontal="left" vertical="center" wrapText="1"/>
    </xf>
    <xf numFmtId="49" fontId="23" fillId="0" borderId="10" xfId="0" applyNumberFormat="1" applyFont="1" applyBorder="1" applyAlignment="1">
      <alignment horizontal="left" vertical="center" wrapText="1"/>
    </xf>
    <xf numFmtId="0" fontId="23" fillId="26" borderId="11" xfId="0" applyFont="1" applyFill="1" applyBorder="1" applyAlignment="1"/>
    <xf numFmtId="49" fontId="25" fillId="0" borderId="12" xfId="0" applyNumberFormat="1" applyFont="1" applyBorder="1" applyAlignment="1">
      <alignment vertical="center" wrapText="1"/>
    </xf>
    <xf numFmtId="49" fontId="23" fillId="0" borderId="1" xfId="0" applyNumberFormat="1" applyFont="1" applyBorder="1" applyAlignment="1">
      <alignment horizontal="left" vertical="center" wrapText="1"/>
    </xf>
    <xf numFmtId="0" fontId="23" fillId="26" borderId="21" xfId="0" applyFont="1" applyFill="1" applyBorder="1" applyAlignment="1"/>
    <xf numFmtId="0" fontId="23" fillId="23" borderId="5" xfId="0" applyFont="1" applyFill="1" applyBorder="1" applyAlignment="1">
      <alignment horizontal="left" vertical="center" wrapText="1"/>
    </xf>
    <xf numFmtId="0" fontId="23" fillId="0" borderId="11" xfId="0" applyFont="1" applyBorder="1" applyAlignment="1">
      <alignment horizontal="left" vertical="center" wrapText="1"/>
    </xf>
    <xf numFmtId="49" fontId="25" fillId="0" borderId="25" xfId="0" applyNumberFormat="1" applyFont="1" applyBorder="1" applyAlignment="1">
      <alignment horizontal="left" vertical="center" wrapText="1"/>
    </xf>
    <xf numFmtId="0" fontId="23" fillId="26" borderId="21" xfId="0" applyFont="1" applyFill="1" applyBorder="1" applyAlignment="1">
      <alignment horizontal="center" wrapText="1"/>
    </xf>
    <xf numFmtId="0" fontId="23" fillId="27" borderId="21" xfId="0" applyFont="1" applyFill="1" applyBorder="1" applyAlignment="1">
      <alignment wrapText="1"/>
    </xf>
    <xf numFmtId="0" fontId="23" fillId="25" borderId="34" xfId="0" applyFont="1" applyFill="1" applyBorder="1" applyAlignment="1">
      <alignment horizontal="left" vertical="center" wrapText="1"/>
    </xf>
    <xf numFmtId="49" fontId="25" fillId="0" borderId="12" xfId="0" applyNumberFormat="1" applyFont="1" applyBorder="1" applyAlignment="1">
      <alignment horizontal="left" vertical="center" wrapText="1"/>
    </xf>
    <xf numFmtId="49" fontId="23" fillId="0" borderId="13" xfId="0" applyNumberFormat="1" applyFont="1" applyBorder="1" applyAlignment="1">
      <alignment horizontal="left" vertical="center" wrapText="1"/>
    </xf>
    <xf numFmtId="0" fontId="25" fillId="26" borderId="21" xfId="0" applyFont="1" applyFill="1" applyBorder="1" applyAlignment="1">
      <alignment horizontal="left" vertical="center" wrapText="1"/>
    </xf>
    <xf numFmtId="49" fontId="25" fillId="0" borderId="28" xfId="0" applyNumberFormat="1" applyFont="1" applyBorder="1" applyAlignment="1">
      <alignment horizontal="left" vertical="center" wrapText="1"/>
    </xf>
    <xf numFmtId="0" fontId="25" fillId="25" borderId="40" xfId="0" applyFont="1" applyFill="1" applyBorder="1" applyAlignment="1">
      <alignment horizontal="left" vertical="center" wrapText="1"/>
    </xf>
    <xf numFmtId="49" fontId="23" fillId="14" borderId="12" xfId="0" applyNumberFormat="1" applyFont="1" applyFill="1" applyBorder="1" applyAlignment="1">
      <alignment horizontal="left" vertical="center" wrapText="1"/>
    </xf>
    <xf numFmtId="0" fontId="23" fillId="14" borderId="13" xfId="0" applyFont="1" applyFill="1" applyBorder="1" applyAlignment="1">
      <alignment horizontal="left" vertical="center" wrapText="1"/>
    </xf>
    <xf numFmtId="0" fontId="23" fillId="14" borderId="1" xfId="0" applyFont="1" applyFill="1" applyBorder="1" applyAlignment="1">
      <alignment horizontal="left" vertical="center" wrapText="1"/>
    </xf>
    <xf numFmtId="0" fontId="23" fillId="25" borderId="33" xfId="0" applyFont="1" applyFill="1" applyBorder="1" applyAlignment="1">
      <alignment horizontal="left" vertical="center" wrapText="1"/>
    </xf>
    <xf numFmtId="49" fontId="23" fillId="14" borderId="25" xfId="0" applyNumberFormat="1" applyFont="1" applyFill="1" applyBorder="1" applyAlignment="1">
      <alignment horizontal="left" vertical="center" wrapText="1"/>
    </xf>
    <xf numFmtId="49" fontId="23" fillId="14" borderId="28" xfId="0" applyNumberFormat="1" applyFont="1" applyFill="1" applyBorder="1" applyAlignment="1">
      <alignment horizontal="left" vertical="center" wrapText="1"/>
    </xf>
    <xf numFmtId="0" fontId="23" fillId="14" borderId="16" xfId="0" applyFont="1" applyFill="1" applyBorder="1" applyAlignment="1">
      <alignment horizontal="left" vertical="center" wrapText="1"/>
    </xf>
    <xf numFmtId="0" fontId="23" fillId="25" borderId="40" xfId="0" applyFont="1" applyFill="1" applyBorder="1" applyAlignment="1">
      <alignment horizontal="left" vertical="center" wrapText="1"/>
    </xf>
    <xf numFmtId="0" fontId="25" fillId="27" borderId="29" xfId="0" applyFont="1" applyFill="1" applyBorder="1" applyAlignment="1">
      <alignment horizontal="left" vertical="center" wrapText="1"/>
    </xf>
    <xf numFmtId="0" fontId="11" fillId="0" borderId="21" xfId="0" applyFont="1" applyBorder="1" applyAlignment="1">
      <alignment horizontal="left" vertical="center"/>
    </xf>
    <xf numFmtId="0" fontId="13" fillId="0" borderId="21" xfId="0" applyFont="1" applyBorder="1" applyAlignment="1">
      <alignment horizontal="left" vertical="center"/>
    </xf>
    <xf numFmtId="0" fontId="13" fillId="0" borderId="14" xfId="0" applyFont="1" applyBorder="1" applyAlignment="1">
      <alignment horizontal="left" vertical="center"/>
    </xf>
    <xf numFmtId="0" fontId="14" fillId="0" borderId="15" xfId="0" applyFont="1" applyBorder="1" applyAlignment="1">
      <alignment horizontal="left" vertical="center" wrapText="1"/>
    </xf>
    <xf numFmtId="0" fontId="14" fillId="14" borderId="38" xfId="0" applyFont="1" applyFill="1" applyBorder="1" applyAlignment="1">
      <alignment horizontal="left" vertical="center" wrapText="1"/>
    </xf>
    <xf numFmtId="0" fontId="13" fillId="0" borderId="0" xfId="0" applyFont="1" applyAlignment="1">
      <alignment vertical="center" wrapText="1"/>
    </xf>
    <xf numFmtId="0" fontId="13" fillId="0" borderId="0" xfId="5" applyFont="1" applyAlignment="1">
      <alignment vertical="center" wrapText="1"/>
    </xf>
    <xf numFmtId="49" fontId="11" fillId="0" borderId="13" xfId="0" applyNumberFormat="1" applyFont="1" applyBorder="1" applyAlignment="1">
      <alignment horizontal="left" vertical="center" wrapText="1"/>
    </xf>
    <xf numFmtId="0" fontId="11" fillId="27" borderId="21" xfId="0" applyFont="1" applyFill="1" applyBorder="1" applyAlignment="1">
      <alignment wrapText="1"/>
    </xf>
    <xf numFmtId="0" fontId="11" fillId="27" borderId="29" xfId="0" applyFont="1" applyFill="1" applyBorder="1" applyAlignment="1"/>
    <xf numFmtId="0" fontId="11" fillId="0" borderId="0" xfId="0" applyFont="1" applyAlignment="1" applyProtection="1">
      <protection locked="0"/>
    </xf>
    <xf numFmtId="0" fontId="22" fillId="0" borderId="0" xfId="8" applyAlignment="1">
      <alignment horizontal="left" vertical="center" wrapText="1"/>
    </xf>
    <xf numFmtId="0" fontId="11" fillId="0" borderId="0" xfId="4" applyFont="1"/>
    <xf numFmtId="0" fontId="10" fillId="18" borderId="1" xfId="1" applyFont="1" applyFill="1" applyBorder="1" applyAlignment="1">
      <alignment horizontal="left" vertical="center" wrapText="1"/>
    </xf>
    <xf numFmtId="0" fontId="10" fillId="18" borderId="1" xfId="1" applyFont="1" applyFill="1" applyBorder="1" applyAlignment="1" applyProtection="1">
      <alignment horizontal="left" vertical="center" wrapText="1"/>
      <protection locked="0"/>
    </xf>
    <xf numFmtId="0" fontId="10" fillId="18" borderId="1" xfId="9" applyFont="1" applyFill="1" applyBorder="1">
      <alignment vertical="center"/>
    </xf>
    <xf numFmtId="0" fontId="10" fillId="18" borderId="1" xfId="9" applyFont="1" applyFill="1" applyBorder="1" applyAlignment="1">
      <alignment horizontal="left" vertical="center"/>
    </xf>
    <xf numFmtId="0" fontId="10" fillId="18" borderId="1" xfId="9" applyFont="1" applyFill="1" applyBorder="1" applyAlignment="1" applyProtection="1">
      <alignment horizontal="left" vertical="center" wrapText="1"/>
      <protection locked="0"/>
    </xf>
    <xf numFmtId="0" fontId="15" fillId="0" borderId="0" xfId="8" applyFont="1" applyAlignment="1">
      <alignment horizontal="left" vertical="center"/>
    </xf>
    <xf numFmtId="0" fontId="10" fillId="18" borderId="1" xfId="9" applyFont="1" applyFill="1" applyBorder="1" applyAlignment="1" applyProtection="1">
      <alignment horizontal="left" vertical="center"/>
      <protection locked="0"/>
    </xf>
    <xf numFmtId="0" fontId="10" fillId="18" borderId="1" xfId="2" applyFont="1" applyFill="1" applyBorder="1" applyAlignment="1" applyProtection="1">
      <alignment horizontal="left" vertical="center"/>
      <protection locked="0"/>
    </xf>
    <xf numFmtId="0" fontId="10" fillId="18" borderId="1" xfId="9" applyFont="1" applyFill="1" applyBorder="1" applyAlignment="1">
      <alignment horizontal="left" vertical="center" wrapText="1"/>
    </xf>
    <xf numFmtId="0" fontId="10" fillId="18" borderId="1" xfId="3" applyFont="1" applyFill="1" applyBorder="1">
      <alignment vertical="center"/>
    </xf>
    <xf numFmtId="0" fontId="10" fillId="18" borderId="1" xfId="3" applyFont="1" applyFill="1" applyBorder="1" applyAlignment="1" applyProtection="1">
      <alignment horizontal="left" vertical="center"/>
      <protection locked="0"/>
    </xf>
    <xf numFmtId="0" fontId="29" fillId="18" borderId="1" xfId="1" applyFont="1" applyFill="1" applyBorder="1" applyAlignment="1">
      <alignment horizontal="left" vertical="center" wrapText="1"/>
    </xf>
    <xf numFmtId="0" fontId="29" fillId="18" borderId="1" xfId="9" applyFont="1" applyFill="1" applyBorder="1" applyAlignment="1">
      <alignment horizontal="left" vertical="center" wrapText="1"/>
    </xf>
    <xf numFmtId="176" fontId="29" fillId="18" borderId="1" xfId="9" applyNumberFormat="1" applyFont="1" applyFill="1" applyBorder="1" applyAlignment="1">
      <alignment horizontal="left" vertical="center" wrapText="1"/>
    </xf>
    <xf numFmtId="0" fontId="10" fillId="18" borderId="34" xfId="1" applyFont="1" applyFill="1" applyBorder="1" applyAlignment="1">
      <alignment vertical="center" wrapText="1"/>
    </xf>
    <xf numFmtId="0" fontId="12" fillId="3" borderId="2" xfId="4" applyFont="1" applyFill="1" applyBorder="1" applyAlignment="1">
      <alignment vertical="center" wrapText="1"/>
    </xf>
    <xf numFmtId="0" fontId="12" fillId="4" borderId="2" xfId="4" applyFont="1" applyFill="1" applyBorder="1" applyAlignment="1">
      <alignment horizontal="left" vertical="center" wrapText="1"/>
    </xf>
    <xf numFmtId="0" fontId="11" fillId="0" borderId="0" xfId="4" applyFont="1" applyAlignment="1">
      <alignment wrapText="1"/>
    </xf>
    <xf numFmtId="0" fontId="11" fillId="20" borderId="3" xfId="4" applyFont="1" applyFill="1" applyBorder="1" applyAlignment="1">
      <alignment vertical="center" wrapText="1"/>
    </xf>
    <xf numFmtId="0" fontId="11" fillId="20" borderId="4" xfId="4" applyFont="1" applyFill="1" applyBorder="1" applyAlignment="1">
      <alignment vertical="center" wrapText="1"/>
    </xf>
    <xf numFmtId="0" fontId="11" fillId="20" borderId="3" xfId="4" applyFont="1" applyFill="1" applyBorder="1" applyAlignment="1">
      <alignment horizontal="left" vertical="center" wrapText="1"/>
    </xf>
    <xf numFmtId="0" fontId="11" fillId="20" borderId="4" xfId="4" applyFont="1" applyFill="1" applyBorder="1" applyAlignment="1">
      <alignment horizontal="left" vertical="center" wrapText="1"/>
    </xf>
    <xf numFmtId="0" fontId="11" fillId="20" borderId="5" xfId="4" applyFont="1" applyFill="1" applyBorder="1" applyAlignment="1">
      <alignment horizontal="left" vertical="center" wrapText="1"/>
    </xf>
    <xf numFmtId="0" fontId="11" fillId="0" borderId="9" xfId="4" applyFont="1" applyBorder="1" applyAlignment="1">
      <alignment horizontal="left" vertical="center" wrapText="1"/>
    </xf>
    <xf numFmtId="0" fontId="11" fillId="0" borderId="10" xfId="4" applyFont="1" applyBorder="1" applyAlignment="1">
      <alignment horizontal="left" vertical="center" wrapText="1"/>
    </xf>
    <xf numFmtId="0" fontId="11" fillId="0" borderId="25" xfId="4" applyFont="1" applyBorder="1" applyAlignment="1">
      <alignment horizontal="left" vertical="center" wrapText="1"/>
    </xf>
    <xf numFmtId="0" fontId="11" fillId="0" borderId="1" xfId="4" applyFont="1" applyBorder="1" applyAlignment="1">
      <alignment horizontal="left" vertical="center" wrapText="1"/>
    </xf>
    <xf numFmtId="0" fontId="11" fillId="0" borderId="6" xfId="4" applyFont="1" applyBorder="1" applyAlignment="1">
      <alignment horizontal="left" vertical="center" wrapText="1"/>
    </xf>
    <xf numFmtId="0" fontId="11" fillId="0" borderId="7" xfId="4" applyFont="1" applyBorder="1" applyAlignment="1">
      <alignment horizontal="left" vertical="center" wrapText="1"/>
    </xf>
    <xf numFmtId="0" fontId="11" fillId="21" borderId="7" xfId="4" applyFont="1" applyFill="1" applyBorder="1" applyAlignment="1">
      <alignment horizontal="left" vertical="center" wrapText="1"/>
    </xf>
    <xf numFmtId="0" fontId="11" fillId="8" borderId="8" xfId="4" applyFont="1" applyFill="1" applyBorder="1" applyAlignment="1">
      <alignment horizontal="left" vertical="center" wrapText="1"/>
    </xf>
    <xf numFmtId="0" fontId="11" fillId="0" borderId="12" xfId="4" applyFont="1" applyBorder="1" applyAlignment="1">
      <alignment horizontal="left" vertical="center" wrapText="1"/>
    </xf>
    <xf numFmtId="0" fontId="11" fillId="0" borderId="13" xfId="4" applyFont="1" applyBorder="1" applyAlignment="1">
      <alignment horizontal="left" vertical="center" wrapText="1"/>
    </xf>
    <xf numFmtId="0" fontId="11" fillId="22" borderId="10" xfId="4" applyFont="1" applyFill="1" applyBorder="1" applyAlignment="1">
      <alignment horizontal="left" vertical="center" wrapText="1"/>
    </xf>
    <xf numFmtId="0" fontId="13" fillId="8" borderId="11" xfId="4" applyFont="1" applyFill="1" applyBorder="1" applyAlignment="1">
      <alignment horizontal="left" vertical="center" wrapText="1"/>
    </xf>
    <xf numFmtId="0" fontId="11" fillId="21" borderId="10" xfId="4" applyFont="1" applyFill="1" applyBorder="1" applyAlignment="1">
      <alignment horizontal="left" vertical="center" wrapText="1"/>
    </xf>
    <xf numFmtId="0" fontId="11" fillId="21" borderId="13" xfId="4" applyFont="1" applyFill="1" applyBorder="1" applyAlignment="1">
      <alignment horizontal="left" vertical="center" wrapText="1"/>
    </xf>
    <xf numFmtId="0" fontId="13" fillId="8" borderId="14" xfId="4" applyFont="1" applyFill="1" applyBorder="1" applyAlignment="1">
      <alignment horizontal="left" vertical="center" wrapText="1"/>
    </xf>
    <xf numFmtId="0" fontId="13" fillId="0" borderId="25" xfId="4" applyFont="1" applyBorder="1" applyAlignment="1">
      <alignment horizontal="left" vertical="center" wrapText="1"/>
    </xf>
    <xf numFmtId="0" fontId="13" fillId="22" borderId="1" xfId="4" applyFont="1" applyFill="1" applyBorder="1" applyAlignment="1">
      <alignment horizontal="left" vertical="center" wrapText="1"/>
    </xf>
    <xf numFmtId="0" fontId="13" fillId="0" borderId="13" xfId="4" applyFont="1" applyBorder="1" applyAlignment="1">
      <alignment horizontal="left" vertical="center" wrapText="1"/>
    </xf>
    <xf numFmtId="0" fontId="13" fillId="0" borderId="12" xfId="4" applyFont="1" applyBorder="1" applyAlignment="1">
      <alignment horizontal="left" vertical="center" wrapText="1"/>
    </xf>
    <xf numFmtId="0" fontId="13" fillId="22" borderId="13" xfId="4" applyFont="1" applyFill="1" applyBorder="1" applyAlignment="1">
      <alignment horizontal="left" vertical="center" wrapText="1"/>
    </xf>
    <xf numFmtId="0" fontId="13" fillId="0" borderId="9" xfId="4" applyFont="1" applyBorder="1" applyAlignment="1">
      <alignment horizontal="left" vertical="center" wrapText="1"/>
    </xf>
    <xf numFmtId="0" fontId="13" fillId="0" borderId="10" xfId="4" applyFont="1" applyBorder="1" applyAlignment="1">
      <alignment horizontal="left" vertical="center" wrapText="1"/>
    </xf>
    <xf numFmtId="0" fontId="11" fillId="22" borderId="7" xfId="4" applyFont="1" applyFill="1" applyBorder="1" applyAlignment="1">
      <alignment horizontal="left" vertical="center" wrapText="1"/>
    </xf>
    <xf numFmtId="0" fontId="13" fillId="0" borderId="1" xfId="4" applyFont="1" applyBorder="1" applyAlignment="1">
      <alignment horizontal="left" vertical="center" wrapText="1"/>
    </xf>
    <xf numFmtId="0" fontId="11" fillId="8" borderId="11" xfId="4" applyFont="1" applyFill="1" applyBorder="1" applyAlignment="1">
      <alignment horizontal="left" vertical="center" wrapText="1"/>
    </xf>
    <xf numFmtId="0" fontId="13" fillId="21" borderId="1" xfId="4" applyFont="1" applyFill="1" applyBorder="1" applyAlignment="1">
      <alignment horizontal="left" vertical="center" wrapText="1"/>
    </xf>
    <xf numFmtId="0" fontId="13" fillId="8" borderId="21" xfId="4" applyFont="1" applyFill="1" applyBorder="1" applyAlignment="1">
      <alignment horizontal="left" vertical="center" wrapText="1"/>
    </xf>
    <xf numFmtId="0" fontId="13" fillId="0" borderId="25" xfId="4" applyFont="1" applyBorder="1" applyAlignment="1">
      <alignment vertical="center" wrapText="1"/>
    </xf>
    <xf numFmtId="0" fontId="13" fillId="0" borderId="1" xfId="4" applyFont="1" applyBorder="1" applyAlignment="1">
      <alignment vertical="center"/>
    </xf>
    <xf numFmtId="0" fontId="13" fillId="0" borderId="12" xfId="4" applyFont="1" applyBorder="1" applyAlignment="1">
      <alignment vertical="center" wrapText="1"/>
    </xf>
    <xf numFmtId="0" fontId="13" fillId="0" borderId="13" xfId="4" applyFont="1" applyBorder="1" applyAlignment="1">
      <alignment vertical="center"/>
    </xf>
    <xf numFmtId="0" fontId="13" fillId="21" borderId="13" xfId="4" applyFont="1" applyFill="1" applyBorder="1" applyAlignment="1">
      <alignment horizontal="left" vertical="center" wrapText="1"/>
    </xf>
    <xf numFmtId="0" fontId="13" fillId="0" borderId="9" xfId="4" applyFont="1" applyBorder="1" applyAlignment="1">
      <alignment vertical="center" wrapText="1"/>
    </xf>
    <xf numFmtId="0" fontId="13" fillId="0" borderId="10" xfId="4" applyFont="1" applyBorder="1" applyAlignment="1">
      <alignment vertical="center" wrapText="1"/>
    </xf>
    <xf numFmtId="0" fontId="13" fillId="0" borderId="6" xfId="4" applyFont="1" applyBorder="1" applyAlignment="1">
      <alignment horizontal="left" vertical="center" wrapText="1"/>
    </xf>
    <xf numFmtId="0" fontId="13" fillId="0" borderId="7" xfId="4" applyFont="1" applyBorder="1" applyAlignment="1">
      <alignment horizontal="left" vertical="center" wrapText="1"/>
    </xf>
    <xf numFmtId="0" fontId="13" fillId="0" borderId="7" xfId="4" applyFont="1" applyBorder="1" applyAlignment="1">
      <alignment horizontal="left" vertical="center"/>
    </xf>
    <xf numFmtId="0" fontId="13" fillId="21" borderId="7" xfId="4" applyFont="1" applyFill="1" applyBorder="1" applyAlignment="1">
      <alignment horizontal="left" vertical="center" wrapText="1"/>
    </xf>
    <xf numFmtId="0" fontId="13" fillId="8" borderId="8" xfId="4" applyFont="1" applyFill="1" applyBorder="1" applyAlignment="1">
      <alignment horizontal="left" vertical="center" wrapText="1"/>
    </xf>
    <xf numFmtId="0" fontId="13" fillId="0" borderId="28" xfId="4" applyFont="1" applyBorder="1" applyAlignment="1">
      <alignment vertical="center" wrapText="1"/>
    </xf>
    <xf numFmtId="0" fontId="13" fillId="0" borderId="16" xfId="4" applyFont="1" applyBorder="1" applyAlignment="1">
      <alignment vertical="center" wrapText="1"/>
    </xf>
    <xf numFmtId="0" fontId="14" fillId="0" borderId="6" xfId="4" applyFont="1" applyBorder="1" applyAlignment="1">
      <alignment horizontal="left" vertical="center" wrapText="1"/>
    </xf>
    <xf numFmtId="0" fontId="14" fillId="0" borderId="7" xfId="4" applyFont="1" applyBorder="1" applyAlignment="1">
      <alignment horizontal="left" vertical="center" wrapText="1"/>
    </xf>
    <xf numFmtId="0" fontId="14" fillId="0" borderId="7" xfId="4" applyFont="1" applyBorder="1" applyAlignment="1">
      <alignment horizontal="left" vertical="center"/>
    </xf>
    <xf numFmtId="0" fontId="14" fillId="21" borderId="7" xfId="4" applyFont="1" applyFill="1" applyBorder="1" applyAlignment="1">
      <alignment horizontal="left" vertical="center" wrapText="1"/>
    </xf>
    <xf numFmtId="0" fontId="14" fillId="8" borderId="8" xfId="4" applyFont="1" applyFill="1" applyBorder="1" applyAlignment="1">
      <alignment horizontal="left" vertical="center" wrapText="1"/>
    </xf>
    <xf numFmtId="0" fontId="13" fillId="0" borderId="26" xfId="4" applyFont="1" applyBorder="1" applyAlignment="1">
      <alignment vertical="center" wrapText="1"/>
    </xf>
    <xf numFmtId="0" fontId="13" fillId="0" borderId="27" xfId="4" applyFont="1" applyBorder="1" applyAlignment="1">
      <alignment vertical="center" wrapText="1"/>
    </xf>
    <xf numFmtId="0" fontId="13" fillId="0" borderId="10" xfId="4" applyFont="1" applyBorder="1" applyAlignment="1">
      <alignment horizontal="left" vertical="center"/>
    </xf>
    <xf numFmtId="0" fontId="13" fillId="21" borderId="10" xfId="4" applyFont="1" applyFill="1" applyBorder="1" applyAlignment="1">
      <alignment horizontal="left" vertical="center" wrapText="1"/>
    </xf>
    <xf numFmtId="0" fontId="13" fillId="0" borderId="1" xfId="4" applyFont="1" applyBorder="1" applyAlignment="1">
      <alignment horizontal="left" vertical="center"/>
    </xf>
    <xf numFmtId="0" fontId="13" fillId="0" borderId="13" xfId="4" applyFont="1" applyBorder="1" applyAlignment="1">
      <alignment horizontal="left" vertical="center"/>
    </xf>
    <xf numFmtId="0" fontId="22" fillId="0" borderId="0" xfId="9">
      <alignment vertical="center"/>
    </xf>
    <xf numFmtId="0" fontId="11" fillId="0" borderId="0" xfId="4" applyFont="1" applyAlignment="1">
      <alignment horizontal="left" vertical="center" wrapText="1"/>
    </xf>
    <xf numFmtId="0" fontId="11" fillId="23" borderId="5" xfId="4" applyFont="1" applyFill="1" applyBorder="1" applyAlignment="1">
      <alignment vertical="center" wrapText="1"/>
    </xf>
    <xf numFmtId="0" fontId="13" fillId="24" borderId="10" xfId="4" applyFont="1" applyFill="1" applyBorder="1" applyAlignment="1">
      <alignment horizontal="left" vertical="center" wrapText="1"/>
    </xf>
    <xf numFmtId="0" fontId="11" fillId="24" borderId="10" xfId="4" applyFont="1" applyFill="1" applyBorder="1" applyAlignment="1">
      <alignment horizontal="left" vertical="center" wrapText="1"/>
    </xf>
    <xf numFmtId="0" fontId="13" fillId="24" borderId="1" xfId="4" applyFont="1" applyFill="1" applyBorder="1" applyAlignment="1">
      <alignment horizontal="left" vertical="center" wrapText="1"/>
    </xf>
    <xf numFmtId="0" fontId="11" fillId="24" borderId="1" xfId="4" applyFont="1" applyFill="1" applyBorder="1" applyAlignment="1">
      <alignment horizontal="left" vertical="center" wrapText="1"/>
    </xf>
    <xf numFmtId="2" fontId="13" fillId="24" borderId="13" xfId="4" applyNumberFormat="1" applyFont="1" applyFill="1" applyBorder="1" applyAlignment="1">
      <alignment horizontal="left" vertical="center" wrapText="1"/>
    </xf>
    <xf numFmtId="0" fontId="11" fillId="0" borderId="11" xfId="4" applyFont="1" applyBorder="1" applyAlignment="1">
      <alignment horizontal="left" vertical="center"/>
    </xf>
    <xf numFmtId="0" fontId="14" fillId="0" borderId="1" xfId="4" applyFont="1" applyBorder="1" applyAlignment="1">
      <alignment horizontal="left" vertical="center" wrapText="1"/>
    </xf>
    <xf numFmtId="0" fontId="14" fillId="24" borderId="1" xfId="4" applyFont="1" applyFill="1" applyBorder="1" applyAlignment="1">
      <alignment horizontal="left" vertical="center" wrapText="1"/>
    </xf>
    <xf numFmtId="0" fontId="11" fillId="0" borderId="21" xfId="4" applyFont="1" applyBorder="1" applyAlignment="1">
      <alignment horizontal="left" vertical="center"/>
    </xf>
    <xf numFmtId="0" fontId="11" fillId="0" borderId="21" xfId="4" applyFont="1" applyBorder="1" applyAlignment="1">
      <alignment horizontal="left" vertical="center" wrapText="1"/>
    </xf>
    <xf numFmtId="0" fontId="11" fillId="24" borderId="13" xfId="4" applyFont="1" applyFill="1" applyBorder="1" applyAlignment="1">
      <alignment horizontal="left" vertical="center" wrapText="1"/>
    </xf>
    <xf numFmtId="0" fontId="11" fillId="0" borderId="14" xfId="4" applyFont="1" applyBorder="1" applyAlignment="1">
      <alignment horizontal="left" vertical="center" wrapText="1"/>
    </xf>
    <xf numFmtId="0" fontId="14" fillId="0" borderId="21" xfId="4" applyFont="1" applyBorder="1" applyAlignment="1">
      <alignment horizontal="left" vertical="center"/>
    </xf>
    <xf numFmtId="0" fontId="11" fillId="0" borderId="26" xfId="4" applyFont="1" applyBorder="1" applyAlignment="1">
      <alignment horizontal="left" vertical="center" wrapText="1"/>
    </xf>
    <xf numFmtId="0" fontId="11" fillId="0" borderId="27" xfId="4" applyFont="1" applyBorder="1" applyAlignment="1">
      <alignment horizontal="left" vertical="center" wrapText="1"/>
    </xf>
    <xf numFmtId="0" fontId="11" fillId="0" borderId="16" xfId="4" applyFont="1" applyBorder="1" applyAlignment="1">
      <alignment horizontal="left" vertical="center" wrapText="1"/>
    </xf>
    <xf numFmtId="0" fontId="11" fillId="24" borderId="16" xfId="4" applyFont="1" applyFill="1" applyBorder="1" applyAlignment="1">
      <alignment horizontal="left" vertical="center" wrapText="1"/>
    </xf>
    <xf numFmtId="0" fontId="13" fillId="0" borderId="21" xfId="4" applyFont="1" applyBorder="1" applyAlignment="1">
      <alignment horizontal="left" vertical="center"/>
    </xf>
    <xf numFmtId="0" fontId="13" fillId="24" borderId="13" xfId="4" applyFont="1" applyFill="1" applyBorder="1" applyAlignment="1">
      <alignment horizontal="left" vertical="center" wrapText="1"/>
    </xf>
    <xf numFmtId="0" fontId="13" fillId="0" borderId="14" xfId="4" applyFont="1" applyBorder="1" applyAlignment="1">
      <alignment horizontal="left" vertical="center"/>
    </xf>
    <xf numFmtId="0" fontId="13" fillId="0" borderId="11" xfId="4" applyFont="1" applyBorder="1" applyAlignment="1">
      <alignment horizontal="left" vertical="center" wrapText="1"/>
    </xf>
    <xf numFmtId="0" fontId="13" fillId="0" borderId="21" xfId="4" applyFont="1" applyBorder="1" applyAlignment="1">
      <alignment horizontal="left" vertical="center" wrapText="1"/>
    </xf>
    <xf numFmtId="0" fontId="13" fillId="0" borderId="14" xfId="4" applyFont="1" applyBorder="1" applyAlignment="1">
      <alignment horizontal="left" vertical="center" wrapText="1"/>
    </xf>
    <xf numFmtId="0" fontId="13" fillId="0" borderId="16" xfId="4" applyFont="1" applyBorder="1" applyAlignment="1">
      <alignment horizontal="left" vertical="center" wrapText="1"/>
    </xf>
    <xf numFmtId="0" fontId="13" fillId="24" borderId="16" xfId="4" applyFont="1" applyFill="1" applyBorder="1" applyAlignment="1">
      <alignment horizontal="left" vertical="center" wrapText="1"/>
    </xf>
    <xf numFmtId="0" fontId="13" fillId="0" borderId="29" xfId="4" applyFont="1" applyBorder="1" applyAlignment="1">
      <alignment horizontal="left" vertical="center" wrapText="1"/>
    </xf>
    <xf numFmtId="0" fontId="13" fillId="0" borderId="27" xfId="4" applyFont="1" applyBorder="1" applyAlignment="1">
      <alignment horizontal="left" vertical="center" wrapText="1"/>
    </xf>
    <xf numFmtId="0" fontId="13" fillId="24" borderId="27" xfId="4" applyFont="1" applyFill="1" applyBorder="1" applyAlignment="1">
      <alignment horizontal="left" vertical="center" wrapText="1"/>
    </xf>
    <xf numFmtId="0" fontId="13" fillId="0" borderId="30" xfId="4" applyFont="1" applyBorder="1" applyAlignment="1">
      <alignment horizontal="left" vertical="center" wrapText="1"/>
    </xf>
    <xf numFmtId="0" fontId="13" fillId="25" borderId="10" xfId="4" applyFont="1" applyFill="1" applyBorder="1" applyAlignment="1">
      <alignment horizontal="left" vertical="center" wrapText="1"/>
    </xf>
    <xf numFmtId="0" fontId="16" fillId="8" borderId="21" xfId="4" applyFont="1" applyFill="1" applyBorder="1" applyAlignment="1">
      <alignment horizontal="left" vertical="center" wrapText="1"/>
    </xf>
    <xf numFmtId="0" fontId="13" fillId="25" borderId="16" xfId="4" applyFont="1" applyFill="1" applyBorder="1" applyAlignment="1">
      <alignment horizontal="left" vertical="center" wrapText="1"/>
    </xf>
    <xf numFmtId="0" fontId="14" fillId="20" borderId="9" xfId="4" applyFont="1" applyFill="1" applyBorder="1" applyAlignment="1">
      <alignment horizontal="left" vertical="center" wrapText="1"/>
    </xf>
    <xf numFmtId="0" fontId="14" fillId="20" borderId="10" xfId="4" applyFont="1" applyFill="1" applyBorder="1" applyAlignment="1">
      <alignment horizontal="left" vertical="center" wrapText="1"/>
    </xf>
    <xf numFmtId="0" fontId="11" fillId="23" borderId="5" xfId="4" applyFont="1" applyFill="1" applyBorder="1" applyAlignment="1">
      <alignment horizontal="left" vertical="center" wrapText="1"/>
    </xf>
    <xf numFmtId="0" fontId="14" fillId="0" borderId="25" xfId="4" applyFont="1" applyBorder="1" applyAlignment="1">
      <alignment horizontal="left" vertical="center" wrapText="1"/>
    </xf>
    <xf numFmtId="0" fontId="14" fillId="14" borderId="1" xfId="4" applyFont="1" applyFill="1" applyBorder="1" applyAlignment="1">
      <alignment horizontal="left" vertical="center" wrapText="1"/>
    </xf>
    <xf numFmtId="0" fontId="14" fillId="8" borderId="1" xfId="4" applyFont="1" applyFill="1" applyBorder="1" applyAlignment="1">
      <alignment horizontal="left" vertical="center" wrapText="1"/>
    </xf>
    <xf numFmtId="0" fontId="11" fillId="0" borderId="11" xfId="4" applyFont="1" applyBorder="1" applyAlignment="1">
      <alignment horizontal="left" vertical="center" wrapText="1"/>
    </xf>
    <xf numFmtId="0" fontId="14" fillId="0" borderId="28" xfId="4" applyFont="1" applyBorder="1" applyAlignment="1">
      <alignment horizontal="left" vertical="center" wrapText="1"/>
    </xf>
    <xf numFmtId="0" fontId="14" fillId="0" borderId="16" xfId="4" applyFont="1" applyBorder="1" applyAlignment="1">
      <alignment horizontal="left" vertical="center" wrapText="1"/>
    </xf>
    <xf numFmtId="0" fontId="14" fillId="8" borderId="16" xfId="4" applyFont="1" applyFill="1" applyBorder="1" applyAlignment="1">
      <alignment horizontal="left" vertical="center" wrapText="1"/>
    </xf>
    <xf numFmtId="0" fontId="11" fillId="0" borderId="29" xfId="4" applyFont="1" applyBorder="1" applyAlignment="1">
      <alignment horizontal="left" vertical="center" wrapText="1"/>
    </xf>
    <xf numFmtId="0" fontId="11" fillId="20" borderId="31" xfId="4" applyFont="1" applyFill="1" applyBorder="1" applyAlignment="1">
      <alignment horizontal="left" vertical="center" wrapText="1"/>
    </xf>
    <xf numFmtId="49" fontId="13" fillId="0" borderId="9" xfId="4" applyNumberFormat="1" applyFont="1" applyBorder="1" applyAlignment="1">
      <alignment horizontal="left" vertical="center" wrapText="1"/>
    </xf>
    <xf numFmtId="49" fontId="11" fillId="0" borderId="10" xfId="4" applyNumberFormat="1" applyFont="1" applyBorder="1" applyAlignment="1">
      <alignment horizontal="left" vertical="center" wrapText="1"/>
    </xf>
    <xf numFmtId="0" fontId="13" fillId="0" borderId="32" xfId="4" applyFont="1" applyBorder="1" applyAlignment="1">
      <alignment horizontal="left" vertical="center" wrapText="1"/>
    </xf>
    <xf numFmtId="0" fontId="11" fillId="26" borderId="11" xfId="4" applyFont="1" applyFill="1" applyBorder="1"/>
    <xf numFmtId="49" fontId="13" fillId="0" borderId="12" xfId="4" applyNumberFormat="1" applyFont="1" applyBorder="1" applyAlignment="1">
      <alignment vertical="center" wrapText="1"/>
    </xf>
    <xf numFmtId="49" fontId="11" fillId="0" borderId="1" xfId="4" applyNumberFormat="1" applyFont="1" applyBorder="1" applyAlignment="1">
      <alignment horizontal="left" vertical="center" wrapText="1"/>
    </xf>
    <xf numFmtId="0" fontId="13" fillId="0" borderId="33" xfId="4" applyFont="1" applyBorder="1" applyAlignment="1">
      <alignment vertical="center" wrapText="1"/>
    </xf>
    <xf numFmtId="0" fontId="11" fillId="26" borderId="21" xfId="4" applyFont="1" applyFill="1" applyBorder="1"/>
    <xf numFmtId="0" fontId="14" fillId="0" borderId="1" xfId="4" applyFont="1" applyBorder="1" applyAlignment="1">
      <alignment horizontal="left" vertical="center"/>
    </xf>
    <xf numFmtId="0" fontId="14" fillId="0" borderId="27" xfId="4" applyFont="1" applyBorder="1" applyAlignment="1">
      <alignment horizontal="left" vertical="center"/>
    </xf>
    <xf numFmtId="0" fontId="14" fillId="0" borderId="16" xfId="4" applyFont="1" applyBorder="1" applyAlignment="1">
      <alignment horizontal="left" vertical="center"/>
    </xf>
    <xf numFmtId="0" fontId="11" fillId="0" borderId="0" xfId="4" applyFont="1" applyAlignment="1">
      <alignment horizontal="left" vertical="center"/>
    </xf>
    <xf numFmtId="0" fontId="13" fillId="0" borderId="0" xfId="4" applyFont="1" applyAlignment="1">
      <alignment horizontal="left" vertical="center" wrapText="1"/>
    </xf>
    <xf numFmtId="0" fontId="14" fillId="20" borderId="36" xfId="4" applyFont="1" applyFill="1" applyBorder="1" applyAlignment="1">
      <alignment horizontal="left" vertical="center" wrapText="1"/>
    </xf>
    <xf numFmtId="0" fontId="14" fillId="0" borderId="15" xfId="4" applyFont="1" applyBorder="1" applyAlignment="1">
      <alignment horizontal="left" vertical="center" wrapText="1"/>
    </xf>
    <xf numFmtId="0" fontId="14" fillId="14" borderId="1" xfId="4" applyFont="1" applyFill="1" applyBorder="1" applyAlignment="1">
      <alignment horizontal="left" vertical="center"/>
    </xf>
    <xf numFmtId="0" fontId="14" fillId="0" borderId="51" xfId="4" applyFont="1" applyBorder="1" applyAlignment="1">
      <alignment horizontal="left" vertical="center" wrapText="1"/>
    </xf>
    <xf numFmtId="0" fontId="14" fillId="20" borderId="52" xfId="4" applyFont="1" applyFill="1" applyBorder="1" applyAlignment="1">
      <alignment horizontal="left" vertical="center" wrapText="1"/>
    </xf>
    <xf numFmtId="0" fontId="14" fillId="0" borderId="53" xfId="4" applyFont="1" applyBorder="1" applyAlignment="1">
      <alignment horizontal="left" vertical="center" wrapText="1"/>
    </xf>
    <xf numFmtId="0" fontId="14" fillId="14" borderId="53" xfId="4" applyFont="1" applyFill="1" applyBorder="1" applyAlignment="1">
      <alignment horizontal="left" vertical="center" wrapText="1"/>
    </xf>
    <xf numFmtId="0" fontId="14" fillId="14" borderId="54" xfId="4" applyFont="1" applyFill="1" applyBorder="1" applyAlignment="1">
      <alignment horizontal="left" vertical="center" wrapText="1"/>
    </xf>
    <xf numFmtId="0" fontId="14" fillId="0" borderId="39" xfId="4" applyFont="1" applyBorder="1" applyAlignment="1">
      <alignment horizontal="left" vertical="center" wrapText="1"/>
    </xf>
    <xf numFmtId="0" fontId="14" fillId="0" borderId="55" xfId="4" applyFont="1" applyBorder="1" applyAlignment="1">
      <alignment horizontal="left" vertical="center" wrapText="1"/>
    </xf>
    <xf numFmtId="0" fontId="11" fillId="0" borderId="2" xfId="4" applyFont="1" applyBorder="1"/>
    <xf numFmtId="0" fontId="11" fillId="8" borderId="14" xfId="4" applyFont="1" applyFill="1" applyBorder="1" applyAlignment="1">
      <alignment horizontal="left" vertical="center" wrapText="1"/>
    </xf>
    <xf numFmtId="0" fontId="13" fillId="0" borderId="0" xfId="4" applyFont="1" applyAlignment="1">
      <alignment vertical="center" wrapText="1"/>
    </xf>
    <xf numFmtId="0" fontId="18" fillId="17" borderId="28" xfId="4" applyFont="1" applyFill="1" applyBorder="1" applyAlignment="1">
      <alignment vertical="center"/>
    </xf>
    <xf numFmtId="0" fontId="11" fillId="0" borderId="0" xfId="4" applyFont="1" applyAlignment="1">
      <alignment vertical="center"/>
    </xf>
    <xf numFmtId="0" fontId="11" fillId="0" borderId="0" xfId="4" applyFont="1" applyAlignment="1">
      <alignment horizontal="center" vertical="center"/>
    </xf>
    <xf numFmtId="0" fontId="13" fillId="13" borderId="25" xfId="4" applyFont="1" applyFill="1" applyBorder="1" applyAlignment="1">
      <alignment horizontal="left" vertical="center" wrapText="1"/>
    </xf>
    <xf numFmtId="0" fontId="13" fillId="13" borderId="1" xfId="4" applyFont="1" applyFill="1" applyBorder="1" applyAlignment="1">
      <alignment horizontal="left" vertical="center" wrapText="1"/>
    </xf>
    <xf numFmtId="0" fontId="11" fillId="24" borderId="1" xfId="4" applyFont="1" applyFill="1" applyBorder="1" applyAlignment="1">
      <alignment horizontal="left" vertical="center"/>
    </xf>
    <xf numFmtId="0" fontId="13" fillId="24" borderId="1" xfId="4" applyFont="1" applyFill="1" applyBorder="1" applyAlignment="1">
      <alignment horizontal="left" vertical="center"/>
    </xf>
    <xf numFmtId="0" fontId="13" fillId="0" borderId="1" xfId="4" applyFont="1" applyBorder="1" applyAlignment="1">
      <alignment vertical="center" wrapText="1"/>
    </xf>
    <xf numFmtId="49" fontId="13" fillId="0" borderId="25" xfId="4" applyNumberFormat="1" applyFont="1" applyBorder="1" applyAlignment="1">
      <alignment horizontal="left" vertical="center" wrapText="1"/>
    </xf>
    <xf numFmtId="0" fontId="13" fillId="0" borderId="34" xfId="4" applyFont="1" applyBorder="1" applyAlignment="1">
      <alignment horizontal="left" vertical="center" wrapText="1"/>
    </xf>
    <xf numFmtId="49" fontId="13" fillId="0" borderId="12" xfId="4" applyNumberFormat="1" applyFont="1" applyBorder="1" applyAlignment="1">
      <alignment horizontal="left" vertical="center" wrapText="1"/>
    </xf>
    <xf numFmtId="49" fontId="11" fillId="0" borderId="13" xfId="4" applyNumberFormat="1" applyFont="1" applyBorder="1" applyAlignment="1">
      <alignment horizontal="left" vertical="center" wrapText="1"/>
    </xf>
    <xf numFmtId="0" fontId="13" fillId="0" borderId="33" xfId="4" applyFont="1" applyBorder="1" applyAlignment="1">
      <alignment horizontal="left" vertical="center" wrapText="1"/>
    </xf>
    <xf numFmtId="0" fontId="13" fillId="26" borderId="21" xfId="4" applyFont="1" applyFill="1" applyBorder="1" applyAlignment="1">
      <alignment horizontal="left" vertical="center" wrapText="1"/>
    </xf>
    <xf numFmtId="49" fontId="13" fillId="0" borderId="28" xfId="4" applyNumberFormat="1" applyFont="1" applyBorder="1" applyAlignment="1">
      <alignment horizontal="left" vertical="center" wrapText="1"/>
    </xf>
    <xf numFmtId="0" fontId="13" fillId="0" borderId="40" xfId="4" applyFont="1" applyBorder="1" applyAlignment="1">
      <alignment horizontal="left" vertical="center" wrapText="1"/>
    </xf>
    <xf numFmtId="0" fontId="11" fillId="27" borderId="21" xfId="4" applyFont="1" applyFill="1" applyBorder="1" applyAlignment="1">
      <alignment wrapText="1"/>
    </xf>
    <xf numFmtId="0" fontId="11" fillId="27" borderId="29" xfId="4" applyFont="1" applyFill="1" applyBorder="1"/>
    <xf numFmtId="0" fontId="11" fillId="0" borderId="0" xfId="2" applyFont="1" applyAlignment="1"/>
    <xf numFmtId="0" fontId="10" fillId="18" borderId="1" xfId="2" applyFont="1" applyFill="1" applyBorder="1">
      <alignment vertical="center"/>
    </xf>
    <xf numFmtId="0" fontId="10" fillId="18" borderId="1" xfId="2" applyFont="1" applyFill="1" applyBorder="1" applyAlignment="1">
      <alignment horizontal="left" vertical="center"/>
    </xf>
    <xf numFmtId="0" fontId="10" fillId="18" borderId="1" xfId="2" applyFont="1" applyFill="1" applyBorder="1" applyAlignment="1" applyProtection="1">
      <alignment horizontal="left" vertical="center" wrapText="1"/>
      <protection locked="0"/>
    </xf>
    <xf numFmtId="0" fontId="10" fillId="18" borderId="1" xfId="2" applyFont="1" applyFill="1" applyBorder="1" applyAlignment="1">
      <alignment horizontal="left" vertical="center" wrapText="1"/>
    </xf>
    <xf numFmtId="0" fontId="10" fillId="18" borderId="1" xfId="6" applyFont="1" applyFill="1" applyBorder="1">
      <alignment vertical="center"/>
    </xf>
    <xf numFmtId="0" fontId="10" fillId="18" borderId="1" xfId="6" applyFont="1" applyFill="1" applyBorder="1" applyAlignment="1" applyProtection="1">
      <alignment horizontal="left" vertical="center"/>
      <protection locked="0"/>
    </xf>
    <xf numFmtId="0" fontId="29" fillId="18" borderId="1" xfId="10" applyFont="1" applyFill="1" applyBorder="1" applyAlignment="1">
      <alignment horizontal="left" vertical="center" wrapText="1"/>
    </xf>
    <xf numFmtId="0" fontId="29" fillId="18" borderId="1" xfId="2" applyFont="1" applyFill="1" applyBorder="1" applyAlignment="1">
      <alignment horizontal="left" vertical="center" wrapText="1"/>
    </xf>
    <xf numFmtId="176" fontId="29" fillId="18" borderId="1" xfId="2" applyNumberFormat="1" applyFont="1" applyFill="1" applyBorder="1" applyAlignment="1">
      <alignment horizontal="left" vertical="center" wrapText="1"/>
    </xf>
    <xf numFmtId="0" fontId="0" fillId="0" borderId="0" xfId="2" applyFont="1">
      <alignment vertical="center"/>
    </xf>
    <xf numFmtId="0" fontId="12" fillId="3" borderId="2" xfId="2" applyFont="1" applyFill="1" applyBorder="1" applyAlignment="1">
      <alignment vertical="center" wrapText="1"/>
    </xf>
    <xf numFmtId="0" fontId="12" fillId="4" borderId="2" xfId="2" applyFont="1" applyFill="1" applyBorder="1" applyAlignment="1">
      <alignment horizontal="left" vertical="center" wrapText="1"/>
    </xf>
    <xf numFmtId="0" fontId="11" fillId="0" borderId="0" xfId="2" applyFont="1" applyAlignment="1">
      <alignment wrapText="1"/>
    </xf>
    <xf numFmtId="0" fontId="11" fillId="20" borderId="3" xfId="2" applyFont="1" applyFill="1" applyBorder="1" applyAlignment="1">
      <alignment horizontal="left" vertical="center" wrapText="1"/>
    </xf>
    <xf numFmtId="0" fontId="11" fillId="20" borderId="4" xfId="2" applyFont="1" applyFill="1" applyBorder="1" applyAlignment="1">
      <alignment horizontal="left" vertical="center" wrapText="1"/>
    </xf>
    <xf numFmtId="0" fontId="11" fillId="20" borderId="5" xfId="2" applyFont="1" applyFill="1" applyBorder="1" applyAlignment="1">
      <alignment horizontal="left" vertical="center" wrapText="1"/>
    </xf>
    <xf numFmtId="0" fontId="13" fillId="18" borderId="3" xfId="2" applyFont="1" applyFill="1" applyBorder="1" applyAlignment="1">
      <alignment horizontal="center" vertical="center" wrapText="1"/>
    </xf>
    <xf numFmtId="0" fontId="13" fillId="18" borderId="4" xfId="2" applyFont="1" applyFill="1" applyBorder="1" applyAlignment="1">
      <alignment horizontal="center" vertical="center" wrapText="1"/>
    </xf>
    <xf numFmtId="0" fontId="13" fillId="18" borderId="5" xfId="2" applyFont="1" applyFill="1" applyBorder="1" applyAlignment="1">
      <alignment horizontal="center" vertical="center" wrapText="1"/>
    </xf>
    <xf numFmtId="0" fontId="11" fillId="0" borderId="6" xfId="2" applyFont="1" applyBorder="1" applyAlignment="1">
      <alignment horizontal="left" vertical="center" wrapText="1"/>
    </xf>
    <xf numFmtId="0" fontId="11" fillId="0" borderId="7" xfId="2" applyFont="1" applyBorder="1" applyAlignment="1">
      <alignment horizontal="left" vertical="center" wrapText="1"/>
    </xf>
    <xf numFmtId="0" fontId="11" fillId="21" borderId="7" xfId="2" applyFont="1" applyFill="1" applyBorder="1" applyAlignment="1">
      <alignment horizontal="left" vertical="center" wrapText="1"/>
    </xf>
    <xf numFmtId="0" fontId="11" fillId="8" borderId="8" xfId="2" applyFont="1" applyFill="1" applyBorder="1" applyAlignment="1">
      <alignment horizontal="left" vertical="center" wrapText="1"/>
    </xf>
    <xf numFmtId="0" fontId="11" fillId="0" borderId="9" xfId="2" applyFont="1" applyBorder="1" applyAlignment="1">
      <alignment horizontal="left" vertical="center" wrapText="1"/>
    </xf>
    <xf numFmtId="0" fontId="11" fillId="0" borderId="10" xfId="2" applyFont="1" applyBorder="1" applyAlignment="1">
      <alignment horizontal="left" vertical="center" wrapText="1"/>
    </xf>
    <xf numFmtId="0" fontId="11" fillId="22" borderId="10" xfId="2" applyFont="1" applyFill="1" applyBorder="1" applyAlignment="1">
      <alignment horizontal="left" vertical="center" wrapText="1"/>
    </xf>
    <xf numFmtId="0" fontId="13" fillId="8" borderId="11" xfId="2" applyFont="1" applyFill="1" applyBorder="1" applyAlignment="1">
      <alignment horizontal="left" vertical="center" wrapText="1"/>
    </xf>
    <xf numFmtId="0" fontId="11" fillId="21" borderId="10" xfId="2" applyFont="1" applyFill="1" applyBorder="1" applyAlignment="1">
      <alignment horizontal="left" vertical="center" wrapText="1"/>
    </xf>
    <xf numFmtId="0" fontId="11" fillId="0" borderId="12" xfId="2" applyFont="1" applyBorder="1" applyAlignment="1">
      <alignment horizontal="left" vertical="center" wrapText="1"/>
    </xf>
    <xf numFmtId="0" fontId="11" fillId="0" borderId="13" xfId="2" applyFont="1" applyBorder="1" applyAlignment="1">
      <alignment horizontal="left" vertical="center" wrapText="1"/>
    </xf>
    <xf numFmtId="0" fontId="11" fillId="21" borderId="13" xfId="2" applyFont="1" applyFill="1" applyBorder="1" applyAlignment="1">
      <alignment horizontal="left" vertical="center" wrapText="1"/>
    </xf>
    <xf numFmtId="0" fontId="13" fillId="8" borderId="14" xfId="2" applyFont="1" applyFill="1" applyBorder="1" applyAlignment="1">
      <alignment horizontal="left" vertical="center" wrapText="1"/>
    </xf>
    <xf numFmtId="0" fontId="13" fillId="0" borderId="1" xfId="2" applyFont="1" applyBorder="1" applyAlignment="1">
      <alignment horizontal="left" vertical="center" wrapText="1"/>
    </xf>
    <xf numFmtId="0" fontId="13" fillId="0" borderId="15" xfId="2" applyFont="1" applyBorder="1" applyAlignment="1">
      <alignment horizontal="left" vertical="center" wrapText="1"/>
    </xf>
    <xf numFmtId="0" fontId="13" fillId="22" borderId="1" xfId="2" applyFont="1" applyFill="1" applyBorder="1" applyAlignment="1">
      <alignment horizontal="left" vertical="center" wrapText="1"/>
    </xf>
    <xf numFmtId="0" fontId="13" fillId="0" borderId="16" xfId="2" applyFont="1" applyBorder="1" applyAlignment="1">
      <alignment horizontal="left" vertical="center" wrapText="1"/>
    </xf>
    <xf numFmtId="0" fontId="13" fillId="0" borderId="17" xfId="2" applyFont="1" applyBorder="1" applyAlignment="1">
      <alignment horizontal="left" vertical="center" wrapText="1"/>
    </xf>
    <xf numFmtId="0" fontId="13" fillId="0" borderId="13" xfId="2" applyFont="1" applyBorder="1" applyAlignment="1">
      <alignment horizontal="left" vertical="center" wrapText="1"/>
    </xf>
    <xf numFmtId="0" fontId="13" fillId="22" borderId="13" xfId="2" applyFont="1" applyFill="1" applyBorder="1" applyAlignment="1">
      <alignment horizontal="left" vertical="center" wrapText="1"/>
    </xf>
    <xf numFmtId="0" fontId="11" fillId="0" borderId="1" xfId="2" applyFont="1" applyBorder="1" applyAlignment="1">
      <alignment horizontal="left" vertical="center" wrapText="1"/>
    </xf>
    <xf numFmtId="0" fontId="11" fillId="22" borderId="1" xfId="2" applyFont="1" applyFill="1" applyBorder="1" applyAlignment="1">
      <alignment horizontal="left" vertical="center" wrapText="1"/>
    </xf>
    <xf numFmtId="0" fontId="11" fillId="8" borderId="1" xfId="2" applyFont="1" applyFill="1" applyBorder="1" applyAlignment="1">
      <alignment horizontal="left" vertical="center" wrapText="1"/>
    </xf>
    <xf numFmtId="0" fontId="11" fillId="22" borderId="7" xfId="2" applyFont="1" applyFill="1" applyBorder="1" applyAlignment="1">
      <alignment horizontal="left" vertical="center" wrapText="1"/>
    </xf>
    <xf numFmtId="0" fontId="11" fillId="8" borderId="11" xfId="2" applyFont="1" applyFill="1" applyBorder="1" applyAlignment="1">
      <alignment horizontal="left" vertical="center" wrapText="1"/>
    </xf>
    <xf numFmtId="0" fontId="13" fillId="0" borderId="25" xfId="2" applyFont="1" applyBorder="1" applyAlignment="1">
      <alignment horizontal="left" vertical="center" wrapText="1"/>
    </xf>
    <xf numFmtId="0" fontId="13" fillId="21" borderId="1" xfId="2" applyFont="1" applyFill="1" applyBorder="1" applyAlignment="1">
      <alignment horizontal="left" vertical="center" wrapText="1"/>
    </xf>
    <xf numFmtId="0" fontId="13" fillId="8" borderId="21" xfId="2" applyFont="1" applyFill="1" applyBorder="1" applyAlignment="1">
      <alignment horizontal="left" vertical="center" wrapText="1"/>
    </xf>
    <xf numFmtId="0" fontId="13" fillId="0" borderId="12" xfId="2" applyFont="1" applyBorder="1" applyAlignment="1">
      <alignment horizontal="left" vertical="center" wrapText="1"/>
    </xf>
    <xf numFmtId="0" fontId="13" fillId="21" borderId="13" xfId="2" applyFont="1" applyFill="1" applyBorder="1" applyAlignment="1">
      <alignment horizontal="left" vertical="center" wrapText="1"/>
    </xf>
    <xf numFmtId="0" fontId="13" fillId="0" borderId="6" xfId="2" applyFont="1" applyBorder="1" applyAlignment="1">
      <alignment horizontal="left" vertical="center" wrapText="1"/>
    </xf>
    <xf numFmtId="0" fontId="13" fillId="0" borderId="7" xfId="2" applyFont="1" applyBorder="1" applyAlignment="1">
      <alignment horizontal="left" vertical="center" wrapText="1"/>
    </xf>
    <xf numFmtId="0" fontId="13" fillId="0" borderId="7" xfId="2" applyFont="1" applyBorder="1" applyAlignment="1">
      <alignment horizontal="left" vertical="center"/>
    </xf>
    <xf numFmtId="0" fontId="13" fillId="21" borderId="7" xfId="2" applyFont="1" applyFill="1" applyBorder="1" applyAlignment="1">
      <alignment horizontal="left" vertical="center" wrapText="1"/>
    </xf>
    <xf numFmtId="0" fontId="13" fillId="8" borderId="8" xfId="2" applyFont="1" applyFill="1" applyBorder="1" applyAlignment="1">
      <alignment horizontal="left" vertical="center" wrapText="1"/>
    </xf>
    <xf numFmtId="0" fontId="14" fillId="0" borderId="6" xfId="2" applyFont="1" applyBorder="1" applyAlignment="1">
      <alignment horizontal="left" vertical="center" wrapText="1"/>
    </xf>
    <xf numFmtId="0" fontId="14" fillId="0" borderId="7" xfId="2" applyFont="1" applyBorder="1" applyAlignment="1">
      <alignment horizontal="left" vertical="center" wrapText="1"/>
    </xf>
    <xf numFmtId="0" fontId="14" fillId="0" borderId="7" xfId="2" applyFont="1" applyBorder="1" applyAlignment="1">
      <alignment horizontal="left" vertical="center"/>
    </xf>
    <xf numFmtId="0" fontId="14" fillId="21" borderId="7" xfId="2" applyFont="1" applyFill="1" applyBorder="1" applyAlignment="1">
      <alignment horizontal="left" vertical="center" wrapText="1"/>
    </xf>
    <xf numFmtId="0" fontId="14" fillId="8" borderId="8" xfId="2" applyFont="1" applyFill="1" applyBorder="1" applyAlignment="1">
      <alignment horizontal="left" vertical="center" wrapText="1"/>
    </xf>
    <xf numFmtId="0" fontId="13" fillId="0" borderId="9" xfId="2" applyFont="1" applyBorder="1" applyAlignment="1">
      <alignment horizontal="left" vertical="center" wrapText="1"/>
    </xf>
    <xf numFmtId="0" fontId="13" fillId="0" borderId="10" xfId="2" applyFont="1" applyBorder="1" applyAlignment="1">
      <alignment horizontal="left" vertical="center" wrapText="1"/>
    </xf>
    <xf numFmtId="0" fontId="13" fillId="0" borderId="10" xfId="2" applyFont="1" applyBorder="1" applyAlignment="1">
      <alignment horizontal="left" vertical="center"/>
    </xf>
    <xf numFmtId="0" fontId="13" fillId="21" borderId="10" xfId="2" applyFont="1" applyFill="1" applyBorder="1" applyAlignment="1">
      <alignment horizontal="left" vertical="center" wrapText="1"/>
    </xf>
    <xf numFmtId="0" fontId="13" fillId="0" borderId="1" xfId="2" applyFont="1" applyBorder="1" applyAlignment="1">
      <alignment horizontal="left" vertical="center"/>
    </xf>
    <xf numFmtId="0" fontId="11" fillId="0" borderId="0" xfId="2" applyFont="1" applyAlignment="1">
      <alignment horizontal="left" vertical="center" wrapText="1"/>
    </xf>
    <xf numFmtId="0" fontId="11" fillId="20" borderId="3" xfId="2" applyFont="1" applyFill="1" applyBorder="1" applyAlignment="1">
      <alignment vertical="center" wrapText="1"/>
    </xf>
    <xf numFmtId="0" fontId="11" fillId="20" borderId="4" xfId="2" applyFont="1" applyFill="1" applyBorder="1" applyAlignment="1">
      <alignment vertical="center" wrapText="1"/>
    </xf>
    <xf numFmtId="0" fontId="11" fillId="23" borderId="5" xfId="2" applyFont="1" applyFill="1" applyBorder="1" applyAlignment="1">
      <alignment vertical="center" wrapText="1"/>
    </xf>
    <xf numFmtId="0" fontId="13" fillId="24" borderId="10" xfId="2" applyFont="1" applyFill="1" applyBorder="1" applyAlignment="1">
      <alignment horizontal="left" vertical="center" wrapText="1"/>
    </xf>
    <xf numFmtId="0" fontId="11" fillId="0" borderId="25" xfId="2" applyFont="1" applyBorder="1" applyAlignment="1">
      <alignment horizontal="left" vertical="center" wrapText="1"/>
    </xf>
    <xf numFmtId="0" fontId="13" fillId="24" borderId="1" xfId="2" applyFont="1" applyFill="1" applyBorder="1" applyAlignment="1">
      <alignment horizontal="left" vertical="center" wrapText="1"/>
    </xf>
    <xf numFmtId="2" fontId="13" fillId="24" borderId="13" xfId="2" applyNumberFormat="1" applyFont="1" applyFill="1" applyBorder="1" applyAlignment="1">
      <alignment horizontal="left" vertical="center" wrapText="1"/>
    </xf>
    <xf numFmtId="0" fontId="11" fillId="0" borderId="11" xfId="2" applyFont="1" applyBorder="1" applyAlignment="1">
      <alignment horizontal="left" vertical="center"/>
    </xf>
    <xf numFmtId="0" fontId="14" fillId="0" borderId="1" xfId="2" applyFont="1" applyBorder="1" applyAlignment="1">
      <alignment horizontal="left" vertical="center" wrapText="1"/>
    </xf>
    <xf numFmtId="0" fontId="14" fillId="24" borderId="1" xfId="2" applyFont="1" applyFill="1" applyBorder="1" applyAlignment="1">
      <alignment horizontal="left" vertical="center" wrapText="1"/>
    </xf>
    <xf numFmtId="0" fontId="11" fillId="0" borderId="21" xfId="2" applyFont="1" applyBorder="1" applyAlignment="1">
      <alignment horizontal="left" vertical="center"/>
    </xf>
    <xf numFmtId="0" fontId="11" fillId="0" borderId="21" xfId="2" applyFont="1" applyBorder="1" applyAlignment="1">
      <alignment horizontal="left" vertical="center" wrapText="1"/>
    </xf>
    <xf numFmtId="0" fontId="11" fillId="24" borderId="13" xfId="2" applyFont="1" applyFill="1" applyBorder="1" applyAlignment="1">
      <alignment horizontal="left" vertical="center" wrapText="1"/>
    </xf>
    <xf numFmtId="0" fontId="11" fillId="0" borderId="14" xfId="2" applyFont="1" applyBorder="1" applyAlignment="1">
      <alignment horizontal="left" vertical="center" wrapText="1"/>
    </xf>
    <xf numFmtId="0" fontId="14" fillId="0" borderId="21" xfId="2" applyFont="1" applyBorder="1" applyAlignment="1">
      <alignment horizontal="left" vertical="center"/>
    </xf>
    <xf numFmtId="0" fontId="11" fillId="0" borderId="26" xfId="2" applyFont="1" applyBorder="1" applyAlignment="1">
      <alignment horizontal="left" vertical="center" wrapText="1"/>
    </xf>
    <xf numFmtId="0" fontId="11" fillId="0" borderId="27" xfId="2" applyFont="1" applyBorder="1" applyAlignment="1">
      <alignment horizontal="left" vertical="center" wrapText="1"/>
    </xf>
    <xf numFmtId="0" fontId="13" fillId="0" borderId="21" xfId="2" applyFont="1" applyBorder="1" applyAlignment="1">
      <alignment horizontal="left" vertical="center"/>
    </xf>
    <xf numFmtId="0" fontId="13" fillId="24" borderId="13" xfId="2" applyFont="1" applyFill="1" applyBorder="1" applyAlignment="1">
      <alignment horizontal="left" vertical="center" wrapText="1"/>
    </xf>
    <xf numFmtId="0" fontId="13" fillId="0" borderId="14" xfId="2" applyFont="1" applyBorder="1" applyAlignment="1">
      <alignment horizontal="left" vertical="center"/>
    </xf>
    <xf numFmtId="0" fontId="13" fillId="0" borderId="11" xfId="2" applyFont="1" applyBorder="1" applyAlignment="1">
      <alignment horizontal="left" vertical="center" wrapText="1"/>
    </xf>
    <xf numFmtId="0" fontId="13" fillId="0" borderId="25" xfId="2" applyFont="1" applyBorder="1" applyAlignment="1">
      <alignment vertical="center" wrapText="1"/>
    </xf>
    <xf numFmtId="0" fontId="13" fillId="0" borderId="21" xfId="2" applyFont="1" applyBorder="1" applyAlignment="1">
      <alignment horizontal="left" vertical="center" wrapText="1"/>
    </xf>
    <xf numFmtId="0" fontId="13" fillId="0" borderId="12" xfId="2" applyFont="1" applyBorder="1" applyAlignment="1">
      <alignment vertical="center" wrapText="1"/>
    </xf>
    <xf numFmtId="0" fontId="13" fillId="0" borderId="14" xfId="2" applyFont="1" applyBorder="1" applyAlignment="1">
      <alignment horizontal="left" vertical="center" wrapText="1"/>
    </xf>
    <xf numFmtId="0" fontId="13" fillId="0" borderId="9" xfId="2" applyFont="1" applyBorder="1" applyAlignment="1">
      <alignment vertical="center" wrapText="1"/>
    </xf>
    <xf numFmtId="0" fontId="13" fillId="0" borderId="28" xfId="2" applyFont="1" applyBorder="1" applyAlignment="1">
      <alignment vertical="center" wrapText="1"/>
    </xf>
    <xf numFmtId="0" fontId="13" fillId="24" borderId="16" xfId="2" applyFont="1" applyFill="1" applyBorder="1" applyAlignment="1">
      <alignment horizontal="left" vertical="center" wrapText="1"/>
    </xf>
    <xf numFmtId="0" fontId="13" fillId="0" borderId="29" xfId="2" applyFont="1" applyBorder="1" applyAlignment="1">
      <alignment horizontal="left" vertical="center" wrapText="1"/>
    </xf>
    <xf numFmtId="0" fontId="13" fillId="0" borderId="26" xfId="2" applyFont="1" applyBorder="1" applyAlignment="1">
      <alignment vertical="center" wrapText="1"/>
    </xf>
    <xf numFmtId="0" fontId="13" fillId="0" borderId="27" xfId="2" applyFont="1" applyBorder="1" applyAlignment="1">
      <alignment horizontal="left" vertical="center" wrapText="1"/>
    </xf>
    <xf numFmtId="0" fontId="13" fillId="24" borderId="27" xfId="2" applyFont="1" applyFill="1" applyBorder="1" applyAlignment="1">
      <alignment horizontal="left" vertical="center" wrapText="1"/>
    </xf>
    <xf numFmtId="0" fontId="13" fillId="0" borderId="30" xfId="2" applyFont="1" applyBorder="1" applyAlignment="1">
      <alignment horizontal="left" vertical="center" wrapText="1"/>
    </xf>
    <xf numFmtId="0" fontId="13" fillId="25" borderId="10" xfId="2" applyFont="1" applyFill="1" applyBorder="1" applyAlignment="1">
      <alignment horizontal="left" vertical="center" wrapText="1"/>
    </xf>
    <xf numFmtId="0" fontId="16" fillId="8" borderId="21" xfId="2" applyFont="1" applyFill="1" applyBorder="1" applyAlignment="1">
      <alignment horizontal="left" vertical="center" wrapText="1"/>
    </xf>
    <xf numFmtId="0" fontId="14" fillId="20" borderId="9" xfId="2" applyFont="1" applyFill="1" applyBorder="1" applyAlignment="1">
      <alignment horizontal="left" vertical="center" wrapText="1"/>
    </xf>
    <xf numFmtId="0" fontId="14" fillId="20" borderId="10" xfId="2" applyFont="1" applyFill="1" applyBorder="1" applyAlignment="1">
      <alignment horizontal="left" vertical="center" wrapText="1"/>
    </xf>
    <xf numFmtId="0" fontId="11" fillId="23" borderId="5" xfId="2" applyFont="1" applyFill="1" applyBorder="1" applyAlignment="1">
      <alignment horizontal="left" vertical="center" wrapText="1"/>
    </xf>
    <xf numFmtId="0" fontId="14" fillId="0" borderId="25" xfId="2" applyFont="1" applyBorder="1" applyAlignment="1">
      <alignment horizontal="left" vertical="center" wrapText="1"/>
    </xf>
    <xf numFmtId="0" fontId="14" fillId="14" borderId="1" xfId="2" applyFont="1" applyFill="1" applyBorder="1" applyAlignment="1">
      <alignment horizontal="left" vertical="center" wrapText="1"/>
    </xf>
    <xf numFmtId="0" fontId="11" fillId="24" borderId="10" xfId="2" applyFont="1" applyFill="1" applyBorder="1" applyAlignment="1">
      <alignment horizontal="left" vertical="center" wrapText="1"/>
    </xf>
    <xf numFmtId="0" fontId="11" fillId="0" borderId="11" xfId="2" applyFont="1" applyBorder="1" applyAlignment="1">
      <alignment horizontal="left" vertical="center" wrapText="1"/>
    </xf>
    <xf numFmtId="0" fontId="11" fillId="24" borderId="1" xfId="2" applyFont="1" applyFill="1" applyBorder="1" applyAlignment="1">
      <alignment horizontal="left" vertical="center" wrapText="1"/>
    </xf>
    <xf numFmtId="0" fontId="14" fillId="0" borderId="28" xfId="2" applyFont="1" applyBorder="1" applyAlignment="1">
      <alignment horizontal="left" vertical="center" wrapText="1"/>
    </xf>
    <xf numFmtId="0" fontId="14" fillId="0" borderId="16" xfId="2" applyFont="1" applyBorder="1" applyAlignment="1">
      <alignment horizontal="left" vertical="center" wrapText="1"/>
    </xf>
    <xf numFmtId="0" fontId="11" fillId="0" borderId="16" xfId="2" applyFont="1" applyBorder="1" applyAlignment="1">
      <alignment horizontal="left" vertical="center" wrapText="1"/>
    </xf>
    <xf numFmtId="0" fontId="11" fillId="24" borderId="16" xfId="2" applyFont="1" applyFill="1" applyBorder="1" applyAlignment="1">
      <alignment horizontal="left" vertical="center" wrapText="1"/>
    </xf>
    <xf numFmtId="0" fontId="11" fillId="0" borderId="29" xfId="2" applyFont="1" applyBorder="1" applyAlignment="1">
      <alignment horizontal="left" vertical="center" wrapText="1"/>
    </xf>
    <xf numFmtId="0" fontId="11" fillId="24" borderId="27" xfId="2" applyFont="1" applyFill="1" applyBorder="1" applyAlignment="1">
      <alignment horizontal="left" vertical="center" wrapText="1"/>
    </xf>
    <xf numFmtId="49" fontId="13" fillId="0" borderId="9" xfId="2" applyNumberFormat="1" applyFont="1" applyBorder="1" applyAlignment="1">
      <alignment horizontal="left" vertical="center" wrapText="1"/>
    </xf>
    <xf numFmtId="49" fontId="11" fillId="0" borderId="10" xfId="2" applyNumberFormat="1" applyFont="1" applyBorder="1" applyAlignment="1">
      <alignment horizontal="left" vertical="center" wrapText="1"/>
    </xf>
    <xf numFmtId="49" fontId="13" fillId="0" borderId="12" xfId="2" applyNumberFormat="1" applyFont="1" applyBorder="1" applyAlignment="1">
      <alignment vertical="center" wrapText="1"/>
    </xf>
    <xf numFmtId="49" fontId="11" fillId="0" borderId="1" xfId="2" applyNumberFormat="1" applyFont="1" applyBorder="1" applyAlignment="1">
      <alignment horizontal="left" vertical="center" wrapText="1"/>
    </xf>
    <xf numFmtId="0" fontId="14" fillId="8" borderId="1" xfId="2" applyFont="1" applyFill="1" applyBorder="1" applyAlignment="1">
      <alignment horizontal="left" vertical="center" wrapText="1"/>
    </xf>
    <xf numFmtId="0" fontId="14" fillId="8" borderId="16" xfId="2" applyFont="1" applyFill="1" applyBorder="1" applyAlignment="1">
      <alignment horizontal="left" vertical="center" wrapText="1"/>
    </xf>
    <xf numFmtId="0" fontId="11" fillId="0" borderId="0" xfId="2" applyFont="1" applyAlignment="1">
      <alignment horizontal="left" vertical="center"/>
    </xf>
    <xf numFmtId="0" fontId="13" fillId="0" borderId="0" xfId="2" applyFont="1" applyAlignment="1">
      <alignment horizontal="left" vertical="center" wrapText="1"/>
    </xf>
    <xf numFmtId="0" fontId="11" fillId="20" borderId="31" xfId="2" applyFont="1" applyFill="1" applyBorder="1" applyAlignment="1">
      <alignment horizontal="left" vertical="center" wrapText="1"/>
    </xf>
    <xf numFmtId="0" fontId="13" fillId="0" borderId="32" xfId="2" applyFont="1" applyBorder="1" applyAlignment="1">
      <alignment horizontal="left" vertical="center" wrapText="1"/>
    </xf>
    <xf numFmtId="0" fontId="11" fillId="26" borderId="11" xfId="2" applyFont="1" applyFill="1" applyBorder="1" applyAlignment="1"/>
    <xf numFmtId="0" fontId="13" fillId="0" borderId="33" xfId="2" applyFont="1" applyBorder="1" applyAlignment="1">
      <alignment vertical="center" wrapText="1"/>
    </xf>
    <xf numFmtId="0" fontId="11" fillId="26" borderId="21" xfId="2" applyFont="1" applyFill="1" applyBorder="1" applyAlignment="1"/>
    <xf numFmtId="0" fontId="14" fillId="0" borderId="1" xfId="2" applyFont="1" applyBorder="1" applyAlignment="1">
      <alignment horizontal="left" vertical="center"/>
    </xf>
    <xf numFmtId="0" fontId="14" fillId="14" borderId="1" xfId="2" applyFont="1" applyFill="1" applyBorder="1" applyAlignment="1">
      <alignment horizontal="left" vertical="center"/>
    </xf>
    <xf numFmtId="0" fontId="14" fillId="0" borderId="27" xfId="2" applyFont="1" applyBorder="1" applyAlignment="1">
      <alignment horizontal="left" vertical="center"/>
    </xf>
    <xf numFmtId="0" fontId="14" fillId="0" borderId="16" xfId="2" applyFont="1" applyBorder="1" applyAlignment="1">
      <alignment horizontal="left" vertical="center"/>
    </xf>
    <xf numFmtId="0" fontId="14" fillId="20" borderId="36" xfId="2" applyFont="1" applyFill="1" applyBorder="1" applyAlignment="1">
      <alignment horizontal="left" vertical="center" wrapText="1"/>
    </xf>
    <xf numFmtId="0" fontId="14" fillId="20" borderId="52" xfId="2" applyFont="1" applyFill="1" applyBorder="1" applyAlignment="1">
      <alignment horizontal="left" vertical="center" wrapText="1"/>
    </xf>
    <xf numFmtId="0" fontId="14" fillId="0" borderId="15" xfId="2" applyFont="1" applyBorder="1" applyAlignment="1">
      <alignment horizontal="left" vertical="center" wrapText="1"/>
    </xf>
    <xf numFmtId="0" fontId="14" fillId="0" borderId="53" xfId="2" applyFont="1" applyBorder="1" applyAlignment="1">
      <alignment horizontal="left" vertical="center" wrapText="1"/>
    </xf>
    <xf numFmtId="0" fontId="14" fillId="14" borderId="53" xfId="2" applyFont="1" applyFill="1" applyBorder="1" applyAlignment="1">
      <alignment horizontal="left" vertical="center" wrapText="1"/>
    </xf>
    <xf numFmtId="0" fontId="14" fillId="0" borderId="51" xfId="2" applyFont="1" applyBorder="1" applyAlignment="1">
      <alignment horizontal="left" vertical="center" wrapText="1"/>
    </xf>
    <xf numFmtId="0" fontId="14" fillId="0" borderId="39" xfId="2" applyFont="1" applyBorder="1" applyAlignment="1">
      <alignment horizontal="left" vertical="center" wrapText="1"/>
    </xf>
    <xf numFmtId="0" fontId="14" fillId="14" borderId="54" xfId="2" applyFont="1" applyFill="1" applyBorder="1" applyAlignment="1">
      <alignment horizontal="left" vertical="center" wrapText="1"/>
    </xf>
    <xf numFmtId="0" fontId="14" fillId="0" borderId="55" xfId="2" applyFont="1" applyBorder="1" applyAlignment="1">
      <alignment horizontal="left" vertical="center" wrapText="1"/>
    </xf>
    <xf numFmtId="0" fontId="11" fillId="0" borderId="2" xfId="2" applyFont="1" applyBorder="1" applyAlignment="1"/>
    <xf numFmtId="0" fontId="13" fillId="0" borderId="13" xfId="2" applyFont="1" applyBorder="1" applyAlignment="1">
      <alignment horizontal="left" vertical="center"/>
    </xf>
    <xf numFmtId="0" fontId="11" fillId="8" borderId="14" xfId="2" applyFont="1" applyFill="1" applyBorder="1" applyAlignment="1">
      <alignment horizontal="left" vertical="center" wrapText="1"/>
    </xf>
    <xf numFmtId="0" fontId="28" fillId="17" borderId="44" xfId="2" applyFont="1" applyFill="1" applyBorder="1" applyAlignment="1">
      <alignment horizontal="left" vertical="center"/>
    </xf>
    <xf numFmtId="0" fontId="28" fillId="17" borderId="45" xfId="2" applyFont="1" applyFill="1" applyBorder="1" applyAlignment="1">
      <alignment horizontal="left" vertical="center"/>
    </xf>
    <xf numFmtId="0" fontId="28" fillId="17" borderId="47" xfId="2" applyFont="1" applyFill="1" applyBorder="1" applyAlignment="1">
      <alignment horizontal="left" vertical="center"/>
    </xf>
    <xf numFmtId="0" fontId="18" fillId="17" borderId="28" xfId="2" applyFont="1" applyFill="1" applyBorder="1">
      <alignment vertical="center"/>
    </xf>
    <xf numFmtId="0" fontId="11" fillId="0" borderId="0" xfId="2" applyFont="1" applyAlignment="1">
      <alignment horizontal="center" vertical="center"/>
    </xf>
    <xf numFmtId="0" fontId="11" fillId="0" borderId="0" xfId="2" applyFont="1">
      <alignment vertical="center"/>
    </xf>
    <xf numFmtId="0" fontId="13" fillId="25" borderId="16" xfId="2" applyFont="1" applyFill="1" applyBorder="1" applyAlignment="1">
      <alignment horizontal="left" vertical="center" wrapText="1"/>
    </xf>
    <xf numFmtId="0" fontId="13" fillId="13" borderId="25" xfId="2" applyFont="1" applyFill="1" applyBorder="1" applyAlignment="1">
      <alignment horizontal="left" vertical="center" wrapText="1"/>
    </xf>
    <xf numFmtId="0" fontId="13" fillId="13" borderId="1" xfId="2" applyFont="1" applyFill="1" applyBorder="1" applyAlignment="1">
      <alignment horizontal="left" vertical="center" wrapText="1"/>
    </xf>
    <xf numFmtId="0" fontId="13" fillId="0" borderId="0" xfId="2" applyFont="1" applyAlignment="1">
      <alignment vertical="center" wrapText="1"/>
    </xf>
    <xf numFmtId="49" fontId="13" fillId="0" borderId="25" xfId="2" applyNumberFormat="1" applyFont="1" applyBorder="1" applyAlignment="1">
      <alignment horizontal="left" vertical="center" wrapText="1"/>
    </xf>
    <xf numFmtId="0" fontId="11" fillId="24" borderId="1" xfId="2" applyFont="1" applyFill="1" applyBorder="1" applyAlignment="1">
      <alignment horizontal="left" vertical="center"/>
    </xf>
    <xf numFmtId="49" fontId="13" fillId="0" borderId="12" xfId="2" applyNumberFormat="1" applyFont="1" applyBorder="1" applyAlignment="1">
      <alignment horizontal="left" vertical="center" wrapText="1"/>
    </xf>
    <xf numFmtId="49" fontId="11" fillId="0" borderId="13" xfId="2" applyNumberFormat="1" applyFont="1" applyBorder="1" applyAlignment="1">
      <alignment horizontal="left" vertical="center" wrapText="1"/>
    </xf>
    <xf numFmtId="49" fontId="13" fillId="0" borderId="28" xfId="2" applyNumberFormat="1" applyFont="1" applyBorder="1" applyAlignment="1">
      <alignment horizontal="left" vertical="center" wrapText="1"/>
    </xf>
    <xf numFmtId="0" fontId="13" fillId="24" borderId="1" xfId="2" applyFont="1" applyFill="1" applyBorder="1" applyAlignment="1">
      <alignment horizontal="left" vertical="center"/>
    </xf>
    <xf numFmtId="0" fontId="13" fillId="0" borderId="34" xfId="2" applyFont="1" applyBorder="1" applyAlignment="1">
      <alignment horizontal="left" vertical="center" wrapText="1"/>
    </xf>
    <xf numFmtId="0" fontId="13" fillId="0" borderId="33" xfId="2" applyFont="1" applyBorder="1" applyAlignment="1">
      <alignment horizontal="left" vertical="center" wrapText="1"/>
    </xf>
    <xf numFmtId="0" fontId="13" fillId="26" borderId="21" xfId="2" applyFont="1" applyFill="1" applyBorder="1" applyAlignment="1">
      <alignment horizontal="left" vertical="center" wrapText="1"/>
    </xf>
    <xf numFmtId="0" fontId="13" fillId="0" borderId="40" xfId="2" applyFont="1" applyBorder="1" applyAlignment="1">
      <alignment horizontal="left" vertical="center" wrapText="1"/>
    </xf>
    <xf numFmtId="0" fontId="11" fillId="27" borderId="21" xfId="2" applyFont="1" applyFill="1" applyBorder="1" applyAlignment="1">
      <alignment wrapText="1"/>
    </xf>
    <xf numFmtId="0" fontId="11" fillId="27" borderId="29" xfId="2" applyFont="1" applyFill="1" applyBorder="1" applyAlignment="1"/>
    <xf numFmtId="0" fontId="0" fillId="8" borderId="1" xfId="0" applyFill="1" applyBorder="1">
      <alignment vertical="center"/>
    </xf>
    <xf numFmtId="0" fontId="0" fillId="0" borderId="1" xfId="0" applyBorder="1">
      <alignment vertical="center"/>
    </xf>
    <xf numFmtId="14" fontId="0" fillId="0" borderId="1" xfId="0" applyNumberFormat="1" applyBorder="1">
      <alignment vertical="center"/>
    </xf>
    <xf numFmtId="0" fontId="0" fillId="0" borderId="1" xfId="0" applyBorder="1" applyAlignment="1">
      <alignment vertical="center" wrapText="1"/>
    </xf>
    <xf numFmtId="0" fontId="22" fillId="0" borderId="1" xfId="0" applyFont="1" applyBorder="1" applyAlignment="1">
      <alignment vertical="center" wrapText="1"/>
    </xf>
    <xf numFmtId="0" fontId="22" fillId="0" borderId="7" xfId="0" applyFont="1" applyBorder="1">
      <alignment vertical="center"/>
    </xf>
    <xf numFmtId="14" fontId="0" fillId="0" borderId="7" xfId="0" applyNumberFormat="1" applyBorder="1">
      <alignment vertical="center"/>
    </xf>
    <xf numFmtId="0" fontId="11" fillId="0" borderId="21" xfId="2" quotePrefix="1" applyFont="1" applyBorder="1" applyAlignment="1">
      <alignment horizontal="left" vertical="center" wrapText="1"/>
    </xf>
    <xf numFmtId="0" fontId="11" fillId="0" borderId="21" xfId="4" quotePrefix="1" applyFont="1" applyBorder="1" applyAlignment="1">
      <alignment horizontal="left" vertical="center" wrapText="1"/>
    </xf>
    <xf numFmtId="0" fontId="11" fillId="0" borderId="21" xfId="0" quotePrefix="1" applyFont="1" applyBorder="1" applyAlignment="1">
      <alignment horizontal="left" vertical="center" wrapText="1"/>
    </xf>
    <xf numFmtId="0" fontId="1" fillId="0" borderId="21" xfId="0" quotePrefix="1" applyFont="1" applyFill="1" applyBorder="1" applyAlignment="1">
      <alignment horizontal="left" vertical="center" wrapText="1"/>
    </xf>
    <xf numFmtId="0" fontId="2" fillId="18" borderId="1" xfId="10" applyFont="1" applyFill="1" applyBorder="1" applyAlignment="1">
      <alignment horizontal="left" vertical="center" wrapText="1"/>
    </xf>
    <xf numFmtId="0" fontId="2" fillId="18" borderId="1" xfId="10" applyFont="1" applyFill="1" applyBorder="1" applyAlignment="1" applyProtection="1">
      <alignment horizontal="left" vertical="center" wrapText="1"/>
      <protection locked="0"/>
    </xf>
    <xf numFmtId="176" fontId="21" fillId="18" borderId="1" xfId="10" applyNumberFormat="1" applyFont="1" applyFill="1" applyBorder="1" applyAlignment="1" applyProtection="1">
      <alignment horizontal="left" vertical="center" wrapText="1"/>
      <protection locked="0"/>
    </xf>
    <xf numFmtId="0" fontId="26" fillId="0" borderId="10" xfId="5" applyFont="1" applyBorder="1" applyAlignment="1">
      <alignment vertical="center" wrapText="1"/>
    </xf>
    <xf numFmtId="0" fontId="26" fillId="0" borderId="16" xfId="5" applyFont="1" applyBorder="1" applyAlignment="1">
      <alignment vertical="center" wrapText="1"/>
    </xf>
    <xf numFmtId="0" fontId="26" fillId="0" borderId="1" xfId="5" applyFont="1" applyBorder="1" applyAlignment="1">
      <alignment vertical="center" wrapText="1"/>
    </xf>
    <xf numFmtId="0" fontId="25" fillId="0" borderId="1" xfId="5" applyFont="1" applyFill="1" applyBorder="1" applyAlignment="1" applyProtection="1">
      <alignment vertical="center"/>
    </xf>
    <xf numFmtId="0" fontId="26" fillId="0" borderId="10" xfId="5" applyFont="1" applyFill="1" applyBorder="1" applyAlignment="1" applyProtection="1">
      <alignment vertical="center" wrapText="1"/>
    </xf>
    <xf numFmtId="0" fontId="26" fillId="0" borderId="16" xfId="5" applyFont="1" applyFill="1" applyBorder="1" applyAlignment="1" applyProtection="1">
      <alignment vertical="center" wrapText="1"/>
    </xf>
    <xf numFmtId="0" fontId="26" fillId="0" borderId="1" xfId="5" applyFont="1" applyFill="1" applyBorder="1" applyAlignment="1" applyProtection="1">
      <alignment vertical="center" wrapText="1"/>
    </xf>
    <xf numFmtId="0" fontId="22" fillId="0" borderId="7" xfId="0" applyFont="1" applyBorder="1" applyAlignment="1">
      <alignment vertical="center" wrapText="1"/>
    </xf>
    <xf numFmtId="0" fontId="23" fillId="0" borderId="0" xfId="6" applyFont="1" applyAlignment="1">
      <alignment horizontal="left" vertical="center" wrapText="1"/>
    </xf>
    <xf numFmtId="0" fontId="23" fillId="0" borderId="0" xfId="6" applyFont="1" applyAlignment="1"/>
    <xf numFmtId="0" fontId="26" fillId="0" borderId="29" xfId="6" applyFont="1" applyBorder="1" applyAlignment="1">
      <alignment horizontal="left" vertical="center" wrapText="1"/>
    </xf>
    <xf numFmtId="0" fontId="26" fillId="12" borderId="16" xfId="6" applyFont="1" applyFill="1" applyBorder="1" applyAlignment="1">
      <alignment horizontal="left" vertical="center" wrapText="1"/>
    </xf>
    <xf numFmtId="0" fontId="26" fillId="0" borderId="16" xfId="6" applyFont="1" applyBorder="1" applyAlignment="1">
      <alignment horizontal="left" vertical="center" wrapText="1"/>
    </xf>
    <xf numFmtId="0" fontId="26" fillId="0" borderId="28" xfId="6" applyFont="1" applyBorder="1" applyAlignment="1">
      <alignment vertical="center" wrapText="1"/>
    </xf>
    <xf numFmtId="0" fontId="26" fillId="0" borderId="21" xfId="6" applyFont="1" applyBorder="1" applyAlignment="1">
      <alignment horizontal="left" vertical="center" wrapText="1"/>
    </xf>
    <xf numFmtId="0" fontId="26" fillId="12" borderId="1" xfId="6" applyFont="1" applyFill="1" applyBorder="1" applyAlignment="1">
      <alignment horizontal="left" vertical="center" wrapText="1"/>
    </xf>
    <xf numFmtId="0" fontId="26" fillId="0" borderId="1" xfId="6" applyFont="1" applyBorder="1" applyAlignment="1">
      <alignment horizontal="left" vertical="center" wrapText="1"/>
    </xf>
    <xf numFmtId="0" fontId="26" fillId="0" borderId="25" xfId="6" applyFont="1" applyBorder="1" applyAlignment="1">
      <alignment vertical="center" wrapText="1"/>
    </xf>
    <xf numFmtId="0" fontId="25" fillId="8" borderId="29" xfId="6" applyFont="1" applyFill="1" applyBorder="1" applyAlignment="1">
      <alignment horizontal="left" vertical="center" wrapText="1"/>
    </xf>
    <xf numFmtId="0" fontId="25" fillId="36" borderId="16" xfId="6" applyFont="1" applyFill="1" applyBorder="1" applyAlignment="1">
      <alignment horizontal="left" vertical="center" wrapText="1"/>
    </xf>
    <xf numFmtId="0" fontId="25" fillId="0" borderId="16" xfId="6" applyFont="1" applyBorder="1" applyAlignment="1">
      <alignment horizontal="left" vertical="center" wrapText="1"/>
    </xf>
    <xf numFmtId="0" fontId="25" fillId="0" borderId="28" xfId="6" applyFont="1" applyBorder="1" applyAlignment="1">
      <alignment horizontal="left" vertical="center" wrapText="1"/>
    </xf>
    <xf numFmtId="0" fontId="26" fillId="0" borderId="11" xfId="6" applyFont="1" applyBorder="1" applyAlignment="1">
      <alignment horizontal="left" vertical="center" wrapText="1"/>
    </xf>
    <xf numFmtId="0" fontId="26" fillId="36" borderId="10" xfId="6" applyFont="1" applyFill="1" applyBorder="1" applyAlignment="1">
      <alignment horizontal="left" vertical="center" wrapText="1"/>
    </xf>
    <xf numFmtId="0" fontId="26" fillId="0" borderId="10" xfId="6" applyFont="1" applyBorder="1" applyAlignment="1">
      <alignment horizontal="left" vertical="center" wrapText="1"/>
    </xf>
    <xf numFmtId="0" fontId="26" fillId="0" borderId="9" xfId="6" applyFont="1" applyBorder="1" applyAlignment="1">
      <alignment horizontal="left" vertical="center" wrapText="1"/>
    </xf>
    <xf numFmtId="49" fontId="23" fillId="0" borderId="0" xfId="6" applyNumberFormat="1" applyFont="1" applyAlignment="1">
      <alignment horizontal="left" vertical="center" wrapText="1"/>
    </xf>
    <xf numFmtId="0" fontId="25" fillId="8" borderId="21" xfId="6" applyFont="1" applyFill="1" applyBorder="1" applyAlignment="1">
      <alignment horizontal="left" vertical="center" wrapText="1"/>
    </xf>
    <xf numFmtId="0" fontId="25" fillId="36" borderId="1" xfId="6" applyFont="1" applyFill="1" applyBorder="1" applyAlignment="1">
      <alignment horizontal="left" vertical="center" wrapText="1"/>
    </xf>
    <xf numFmtId="0" fontId="25" fillId="0" borderId="1" xfId="6" applyFont="1" applyBorder="1" applyAlignment="1">
      <alignment horizontal="left" vertical="center" wrapText="1"/>
    </xf>
    <xf numFmtId="0" fontId="25" fillId="0" borderId="25" xfId="6" applyFont="1" applyBorder="1" applyAlignment="1">
      <alignment horizontal="left" vertical="center" wrapText="1"/>
    </xf>
    <xf numFmtId="0" fontId="26" fillId="36" borderId="1" xfId="6" applyFont="1" applyFill="1" applyBorder="1" applyAlignment="1">
      <alignment horizontal="left" vertical="center" wrapText="1"/>
    </xf>
    <xf numFmtId="0" fontId="26" fillId="0" borderId="25" xfId="6" applyFont="1" applyBorder="1" applyAlignment="1">
      <alignment horizontal="left" vertical="center" wrapText="1"/>
    </xf>
    <xf numFmtId="0" fontId="25" fillId="0" borderId="21" xfId="6" applyFont="1" applyBorder="1" applyAlignment="1">
      <alignment horizontal="left" vertical="center" wrapText="1"/>
    </xf>
    <xf numFmtId="0" fontId="40" fillId="17" borderId="28" xfId="6" applyFont="1" applyFill="1" applyBorder="1">
      <alignment vertical="center"/>
    </xf>
    <xf numFmtId="0" fontId="26" fillId="36" borderId="1" xfId="6" applyFont="1" applyFill="1" applyBorder="1" applyAlignment="1">
      <alignment horizontal="left" vertical="center"/>
    </xf>
    <xf numFmtId="0" fontId="23" fillId="0" borderId="21" xfId="6" applyFont="1" applyBorder="1" applyAlignment="1">
      <alignment horizontal="left" vertical="center" wrapText="1"/>
    </xf>
    <xf numFmtId="0" fontId="23" fillId="36" borderId="1" xfId="6" applyFont="1" applyFill="1" applyBorder="1" applyAlignment="1">
      <alignment horizontal="left" vertical="center"/>
    </xf>
    <xf numFmtId="0" fontId="23" fillId="0" borderId="1" xfId="6" applyFont="1" applyBorder="1" applyAlignment="1">
      <alignment horizontal="left" vertical="center" wrapText="1"/>
    </xf>
    <xf numFmtId="0" fontId="23" fillId="0" borderId="25" xfId="6" applyFont="1" applyBorder="1" applyAlignment="1">
      <alignment horizontal="left" vertical="center" wrapText="1"/>
    </xf>
    <xf numFmtId="0" fontId="23" fillId="8" borderId="29" xfId="6" applyFont="1" applyFill="1" applyBorder="1" applyAlignment="1">
      <alignment horizontal="left" vertical="center" wrapText="1"/>
    </xf>
    <xf numFmtId="0" fontId="23" fillId="37" borderId="16" xfId="6" applyFont="1" applyFill="1" applyBorder="1" applyAlignment="1">
      <alignment horizontal="left" vertical="center" wrapText="1"/>
    </xf>
    <xf numFmtId="0" fontId="23" fillId="0" borderId="16" xfId="6" applyFont="1" applyBorder="1" applyAlignment="1">
      <alignment horizontal="left" vertical="center" wrapText="1"/>
    </xf>
    <xf numFmtId="0" fontId="23" fillId="0" borderId="28" xfId="6" applyFont="1" applyBorder="1" applyAlignment="1">
      <alignment horizontal="left" vertical="center" wrapText="1"/>
    </xf>
    <xf numFmtId="0" fontId="23" fillId="8" borderId="21" xfId="6" applyFont="1" applyFill="1" applyBorder="1" applyAlignment="1">
      <alignment horizontal="left" vertical="center" wrapText="1"/>
    </xf>
    <xf numFmtId="0" fontId="23" fillId="37" borderId="1" xfId="6" applyFont="1" applyFill="1" applyBorder="1" applyAlignment="1">
      <alignment horizontal="left" vertical="center" wrapText="1"/>
    </xf>
    <xf numFmtId="0" fontId="25" fillId="38" borderId="29" xfId="6" applyFont="1" applyFill="1" applyBorder="1" applyAlignment="1">
      <alignment horizontal="left" vertical="center" wrapText="1"/>
    </xf>
    <xf numFmtId="49" fontId="25" fillId="0" borderId="28" xfId="6" applyNumberFormat="1" applyFont="1" applyBorder="1" applyAlignment="1">
      <alignment horizontal="left" vertical="center" wrapText="1"/>
    </xf>
    <xf numFmtId="0" fontId="25" fillId="37" borderId="16" xfId="6" applyFont="1" applyFill="1" applyBorder="1" applyAlignment="1">
      <alignment horizontal="left" vertical="center" wrapText="1"/>
    </xf>
    <xf numFmtId="0" fontId="25" fillId="38" borderId="21" xfId="6" applyFont="1" applyFill="1" applyBorder="1" applyAlignment="1">
      <alignment horizontal="left" vertical="center" wrapText="1"/>
    </xf>
    <xf numFmtId="49" fontId="25" fillId="0" borderId="25" xfId="6" applyNumberFormat="1" applyFont="1" applyBorder="1" applyAlignment="1">
      <alignment horizontal="left" vertical="center" wrapText="1"/>
    </xf>
    <xf numFmtId="0" fontId="23" fillId="36" borderId="1" xfId="6" applyFont="1" applyFill="1" applyBorder="1" applyAlignment="1">
      <alignment horizontal="left" vertical="center" wrapText="1"/>
    </xf>
    <xf numFmtId="0" fontId="25" fillId="37" borderId="1" xfId="6" applyFont="1" applyFill="1" applyBorder="1" applyAlignment="1">
      <alignment horizontal="left" vertical="center" wrapText="1"/>
    </xf>
    <xf numFmtId="0" fontId="26" fillId="36" borderId="33" xfId="6" applyFont="1" applyFill="1" applyBorder="1" applyAlignment="1">
      <alignment horizontal="left" vertical="center" wrapText="1"/>
    </xf>
    <xf numFmtId="0" fontId="26" fillId="0" borderId="13" xfId="6" applyFont="1" applyBorder="1" applyAlignment="1">
      <alignment horizontal="left" vertical="center" wrapText="1"/>
    </xf>
    <xf numFmtId="49" fontId="26" fillId="0" borderId="12" xfId="6" applyNumberFormat="1" applyFont="1" applyBorder="1" applyAlignment="1">
      <alignment horizontal="left" vertical="center" wrapText="1"/>
    </xf>
    <xf numFmtId="0" fontId="26" fillId="36" borderId="34" xfId="6" applyFont="1" applyFill="1" applyBorder="1" applyAlignment="1">
      <alignment horizontal="left" vertical="center" wrapText="1"/>
    </xf>
    <xf numFmtId="49" fontId="26" fillId="0" borderId="25" xfId="6" applyNumberFormat="1" applyFont="1" applyBorder="1" applyAlignment="1">
      <alignment horizontal="left" vertical="center" wrapText="1"/>
    </xf>
    <xf numFmtId="0" fontId="26" fillId="8" borderId="14" xfId="6" applyFont="1" applyFill="1" applyBorder="1" applyAlignment="1">
      <alignment horizontal="left" vertical="center" wrapText="1"/>
    </xf>
    <xf numFmtId="0" fontId="26" fillId="9" borderId="13" xfId="6" applyFont="1" applyFill="1" applyBorder="1" applyAlignment="1">
      <alignment horizontal="left" vertical="center" wrapText="1"/>
    </xf>
    <xf numFmtId="0" fontId="26" fillId="0" borderId="13" xfId="6" applyFont="1" applyBorder="1" applyAlignment="1">
      <alignment horizontal="left" vertical="center"/>
    </xf>
    <xf numFmtId="0" fontId="26" fillId="0" borderId="12" xfId="6" applyFont="1" applyBorder="1" applyAlignment="1">
      <alignment horizontal="left" vertical="center" wrapText="1"/>
    </xf>
    <xf numFmtId="0" fontId="26" fillId="8" borderId="21" xfId="6" applyFont="1" applyFill="1" applyBorder="1" applyAlignment="1">
      <alignment horizontal="left" vertical="center" wrapText="1"/>
    </xf>
    <xf numFmtId="0" fontId="26" fillId="9" borderId="1" xfId="6" applyFont="1" applyFill="1" applyBorder="1" applyAlignment="1">
      <alignment horizontal="left" vertical="center" wrapText="1"/>
    </xf>
    <xf numFmtId="0" fontId="26" fillId="0" borderId="1" xfId="6" applyFont="1" applyBorder="1" applyAlignment="1">
      <alignment horizontal="left" vertical="center"/>
    </xf>
    <xf numFmtId="0" fontId="23" fillId="35" borderId="21" xfId="6" applyFont="1" applyFill="1" applyBorder="1" applyAlignment="1">
      <alignment horizontal="left" vertical="center" wrapText="1"/>
    </xf>
    <xf numFmtId="0" fontId="23" fillId="34" borderId="1" xfId="6" applyFont="1" applyFill="1" applyBorder="1" applyAlignment="1">
      <alignment horizontal="left" vertical="center" wrapText="1"/>
    </xf>
    <xf numFmtId="0" fontId="23" fillId="34" borderId="25" xfId="6" applyFont="1" applyFill="1" applyBorder="1" applyAlignment="1">
      <alignment horizontal="left" vertical="center" wrapText="1"/>
    </xf>
    <xf numFmtId="0" fontId="26" fillId="8" borderId="11" xfId="6" applyFont="1" applyFill="1" applyBorder="1" applyAlignment="1">
      <alignment horizontal="left" vertical="center" wrapText="1"/>
    </xf>
    <xf numFmtId="0" fontId="26" fillId="9" borderId="10" xfId="6" applyFont="1" applyFill="1" applyBorder="1" applyAlignment="1">
      <alignment horizontal="left" vertical="center" wrapText="1"/>
    </xf>
    <xf numFmtId="0" fontId="26" fillId="0" borderId="10" xfId="6" applyFont="1" applyBorder="1" applyAlignment="1">
      <alignment horizontal="left" vertical="center"/>
    </xf>
    <xf numFmtId="0" fontId="22" fillId="0" borderId="0" xfId="6" applyAlignment="1">
      <alignment horizontal="left" vertical="center" wrapText="1"/>
    </xf>
    <xf numFmtId="0" fontId="22" fillId="0" borderId="0" xfId="6" applyFont="1" applyAlignment="1">
      <alignment vertical="center" wrapText="1"/>
    </xf>
    <xf numFmtId="0" fontId="26" fillId="36" borderId="16" xfId="6" applyFont="1" applyFill="1" applyBorder="1" applyAlignment="1">
      <alignment horizontal="left" vertical="center" wrapText="1"/>
    </xf>
    <xf numFmtId="0" fontId="25" fillId="8" borderId="8" xfId="6" applyFont="1" applyFill="1" applyBorder="1" applyAlignment="1">
      <alignment horizontal="left" vertical="center" wrapText="1"/>
    </xf>
    <xf numFmtId="0" fontId="25" fillId="9" borderId="7" xfId="6" applyFont="1" applyFill="1" applyBorder="1" applyAlignment="1">
      <alignment horizontal="left" vertical="center" wrapText="1"/>
    </xf>
    <xf numFmtId="0" fontId="25" fillId="0" borderId="7" xfId="6" applyFont="1" applyBorder="1" applyAlignment="1">
      <alignment horizontal="left" vertical="center"/>
    </xf>
    <xf numFmtId="0" fontId="25" fillId="0" borderId="7" xfId="6" applyFont="1" applyBorder="1" applyAlignment="1">
      <alignment horizontal="left" vertical="center" wrapText="1"/>
    </xf>
    <xf numFmtId="0" fontId="25" fillId="0" borderId="6" xfId="6" applyFont="1" applyBorder="1" applyAlignment="1">
      <alignment horizontal="left" vertical="center" wrapText="1"/>
    </xf>
    <xf numFmtId="0" fontId="22" fillId="0" borderId="0" xfId="6" applyFont="1" applyAlignment="1">
      <alignment horizontal="left" vertical="center" wrapText="1"/>
    </xf>
    <xf numFmtId="0" fontId="6" fillId="0" borderId="0" xfId="6" applyFont="1" applyAlignment="1">
      <alignment horizontal="left" vertical="center" wrapText="1"/>
    </xf>
    <xf numFmtId="0" fontId="22" fillId="0" borderId="0" xfId="6" applyAlignment="1">
      <alignment vertical="center" wrapText="1"/>
    </xf>
    <xf numFmtId="0" fontId="25" fillId="0" borderId="1" xfId="6" applyFont="1" applyBorder="1" applyAlignment="1">
      <alignment horizontal="left" vertical="center"/>
    </xf>
    <xf numFmtId="0" fontId="26" fillId="12" borderId="10" xfId="6" applyFont="1" applyFill="1" applyBorder="1" applyAlignment="1">
      <alignment horizontal="left" vertical="center" wrapText="1"/>
    </xf>
    <xf numFmtId="0" fontId="26" fillId="0" borderId="9" xfId="6" applyFont="1" applyBorder="1" applyAlignment="1">
      <alignment vertical="center" wrapText="1"/>
    </xf>
    <xf numFmtId="0" fontId="39" fillId="0" borderId="0" xfId="6" applyFont="1" applyAlignment="1">
      <alignment horizontal="left" vertical="center" wrapText="1"/>
    </xf>
    <xf numFmtId="0" fontId="23" fillId="34" borderId="21" xfId="6" applyFont="1" applyFill="1" applyBorder="1" applyAlignment="1">
      <alignment horizontal="left" vertical="center" wrapText="1"/>
    </xf>
    <xf numFmtId="0" fontId="7" fillId="0" borderId="0" xfId="6" applyFont="1" applyAlignment="1">
      <alignment horizontal="left" vertical="center" wrapText="1"/>
    </xf>
    <xf numFmtId="0" fontId="25" fillId="0" borderId="25" xfId="6" applyFont="1" applyBorder="1" applyAlignment="1">
      <alignment vertical="center" wrapText="1"/>
    </xf>
    <xf numFmtId="0" fontId="25" fillId="0" borderId="21" xfId="6" applyFont="1" applyBorder="1" applyAlignment="1">
      <alignment horizontal="left" vertical="center"/>
    </xf>
    <xf numFmtId="0" fontId="25" fillId="0" borderId="15" xfId="6" applyFont="1" applyBorder="1" applyAlignment="1">
      <alignment horizontal="left" vertical="center" wrapText="1"/>
    </xf>
    <xf numFmtId="0" fontId="25" fillId="8" borderId="53" xfId="6" applyFont="1" applyFill="1" applyBorder="1" applyAlignment="1">
      <alignment horizontal="left" vertical="center" wrapText="1"/>
    </xf>
    <xf numFmtId="0" fontId="25" fillId="0" borderId="34" xfId="6" applyFont="1" applyBorder="1" applyAlignment="1">
      <alignment horizontal="left" vertical="center" wrapText="1"/>
    </xf>
    <xf numFmtId="0" fontId="26" fillId="0" borderId="21" xfId="6" applyFont="1" applyBorder="1" applyAlignment="1">
      <alignment horizontal="left" vertical="center"/>
    </xf>
    <xf numFmtId="0" fontId="25" fillId="0" borderId="0" xfId="6" applyFont="1" applyAlignment="1">
      <alignment horizontal="left" vertical="center" wrapText="1"/>
    </xf>
    <xf numFmtId="0" fontId="26" fillId="0" borderId="0" xfId="6" applyFont="1" applyAlignment="1">
      <alignment horizontal="left" vertical="center" wrapText="1"/>
    </xf>
    <xf numFmtId="0" fontId="25" fillId="0" borderId="1" xfId="6" applyFont="1" applyBorder="1" applyAlignment="1">
      <alignment vertical="center" wrapText="1"/>
    </xf>
    <xf numFmtId="177" fontId="25" fillId="36" borderId="1" xfId="6" applyNumberFormat="1" applyFont="1" applyFill="1" applyBorder="1" applyAlignment="1">
      <alignment horizontal="left" vertical="center" wrapText="1"/>
    </xf>
    <xf numFmtId="0" fontId="26" fillId="8" borderId="29" xfId="6" applyFont="1" applyFill="1" applyBorder="1" applyAlignment="1">
      <alignment horizontal="left" vertical="center" wrapText="1"/>
    </xf>
    <xf numFmtId="0" fontId="26" fillId="8" borderId="40" xfId="6" applyFont="1" applyFill="1" applyBorder="1" applyAlignment="1">
      <alignment horizontal="left" vertical="center" wrapText="1"/>
    </xf>
    <xf numFmtId="0" fontId="26" fillId="14" borderId="16" xfId="6" applyFont="1" applyFill="1" applyBorder="1" applyAlignment="1">
      <alignment horizontal="left" vertical="center" wrapText="1"/>
    </xf>
    <xf numFmtId="0" fontId="26" fillId="8" borderId="16" xfId="6" applyFont="1" applyFill="1" applyBorder="1" applyAlignment="1">
      <alignment horizontal="left" vertical="center" wrapText="1"/>
    </xf>
    <xf numFmtId="0" fontId="26" fillId="14" borderId="28" xfId="6" applyFont="1" applyFill="1" applyBorder="1" applyAlignment="1">
      <alignment horizontal="left" vertical="center" wrapText="1"/>
    </xf>
    <xf numFmtId="0" fontId="25" fillId="34" borderId="47" xfId="6" applyFont="1" applyFill="1" applyBorder="1" applyAlignment="1">
      <alignment horizontal="left" vertical="center" wrapText="1"/>
    </xf>
    <xf numFmtId="0" fontId="25" fillId="34" borderId="58" xfId="6" applyFont="1" applyFill="1" applyBorder="1" applyAlignment="1">
      <alignment horizontal="left" vertical="center" wrapText="1"/>
    </xf>
    <xf numFmtId="0" fontId="25" fillId="34" borderId="10" xfId="6" applyFont="1" applyFill="1" applyBorder="1" applyAlignment="1">
      <alignment horizontal="left" vertical="center" wrapText="1"/>
    </xf>
    <xf numFmtId="0" fontId="23" fillId="34" borderId="10" xfId="6" applyFont="1" applyFill="1" applyBorder="1" applyAlignment="1">
      <alignment horizontal="left" vertical="center" wrapText="1"/>
    </xf>
    <xf numFmtId="0" fontId="25" fillId="34" borderId="9" xfId="6" applyFont="1" applyFill="1" applyBorder="1" applyAlignment="1">
      <alignment horizontal="left" vertical="center" wrapText="1"/>
    </xf>
    <xf numFmtId="0" fontId="23" fillId="35" borderId="21" xfId="6" applyFont="1" applyFill="1" applyBorder="1" applyAlignment="1">
      <alignment vertical="center" wrapText="1"/>
    </xf>
    <xf numFmtId="0" fontId="23" fillId="34" borderId="1" xfId="6" applyFont="1" applyFill="1" applyBorder="1" applyAlignment="1">
      <alignment vertical="center" wrapText="1"/>
    </xf>
    <xf numFmtId="0" fontId="24" fillId="4" borderId="57" xfId="6" applyFont="1" applyFill="1" applyBorder="1" applyAlignment="1">
      <alignment horizontal="left" vertical="center" wrapText="1"/>
    </xf>
    <xf numFmtId="0" fontId="24" fillId="3" borderId="56" xfId="6" applyFont="1" applyFill="1" applyBorder="1" applyAlignment="1">
      <alignment vertical="center" wrapText="1"/>
    </xf>
    <xf numFmtId="0" fontId="24" fillId="3" borderId="41" xfId="6" applyFont="1" applyFill="1" applyBorder="1" applyAlignment="1">
      <alignment vertical="center" wrapText="1"/>
    </xf>
    <xf numFmtId="0" fontId="24" fillId="4" borderId="2" xfId="6" applyFont="1" applyFill="1" applyBorder="1" applyAlignment="1">
      <alignment horizontal="left" vertical="center" wrapText="1"/>
    </xf>
    <xf numFmtId="0" fontId="24" fillId="3" borderId="2" xfId="6" applyFont="1" applyFill="1" applyBorder="1" applyAlignment="1">
      <alignment vertical="center" wrapText="1"/>
    </xf>
    <xf numFmtId="0" fontId="1" fillId="0" borderId="0" xfId="6" applyFont="1" applyAlignment="1"/>
    <xf numFmtId="0" fontId="1" fillId="0" borderId="0" xfId="6" applyFont="1">
      <alignment vertical="center"/>
    </xf>
    <xf numFmtId="0" fontId="23" fillId="0" borderId="0" xfId="6" applyFont="1" applyFill="1" applyAlignment="1">
      <alignment horizontal="left" vertical="center" wrapText="1"/>
    </xf>
    <xf numFmtId="0" fontId="26" fillId="0" borderId="16" xfId="6" applyFont="1" applyFill="1" applyBorder="1" applyAlignment="1">
      <alignment horizontal="left" vertical="center" wrapText="1"/>
    </xf>
    <xf numFmtId="0" fontId="26" fillId="0" borderId="28" xfId="6" applyFont="1" applyFill="1" applyBorder="1" applyAlignment="1">
      <alignment vertical="center" wrapText="1"/>
    </xf>
    <xf numFmtId="0" fontId="26" fillId="0" borderId="1" xfId="6" applyFont="1" applyFill="1" applyBorder="1" applyAlignment="1">
      <alignment horizontal="left" vertical="center" wrapText="1"/>
    </xf>
    <xf numFmtId="0" fontId="26" fillId="0" borderId="25" xfId="6" applyFont="1" applyFill="1" applyBorder="1" applyAlignment="1">
      <alignment vertical="center" wrapText="1"/>
    </xf>
    <xf numFmtId="0" fontId="25" fillId="0" borderId="28" xfId="6" applyFont="1" applyFill="1" applyBorder="1" applyAlignment="1">
      <alignment horizontal="left" vertical="center" wrapText="1"/>
    </xf>
    <xf numFmtId="0" fontId="26" fillId="0" borderId="11" xfId="6" applyFont="1" applyFill="1" applyBorder="1" applyAlignment="1">
      <alignment horizontal="left" vertical="center" wrapText="1"/>
    </xf>
    <xf numFmtId="0" fontId="26" fillId="0" borderId="10" xfId="6" applyFont="1" applyFill="1" applyBorder="1" applyAlignment="1">
      <alignment horizontal="left" vertical="center" wrapText="1"/>
    </xf>
    <xf numFmtId="0" fontId="26" fillId="0" borderId="9" xfId="6" applyFont="1" applyFill="1" applyBorder="1" applyAlignment="1">
      <alignment horizontal="left" vertical="center" wrapText="1"/>
    </xf>
    <xf numFmtId="0" fontId="23" fillId="0" borderId="0" xfId="6" applyFont="1" applyBorder="1" applyAlignment="1">
      <alignment horizontal="left" vertical="center" wrapText="1"/>
    </xf>
    <xf numFmtId="49" fontId="23" fillId="0" borderId="0" xfId="6" applyNumberFormat="1" applyFont="1" applyFill="1" applyBorder="1" applyAlignment="1">
      <alignment horizontal="left" vertical="center" wrapText="1"/>
    </xf>
    <xf numFmtId="0" fontId="25" fillId="0" borderId="25" xfId="6" applyFont="1" applyFill="1" applyBorder="1" applyAlignment="1">
      <alignment horizontal="left" vertical="center" wrapText="1"/>
    </xf>
    <xf numFmtId="0" fontId="26" fillId="0" borderId="21" xfId="6" applyFont="1" applyFill="1" applyBorder="1" applyAlignment="1">
      <alignment horizontal="left" vertical="center" wrapText="1"/>
    </xf>
    <xf numFmtId="0" fontId="26" fillId="0" borderId="25" xfId="6" applyFont="1" applyFill="1" applyBorder="1" applyAlignment="1">
      <alignment horizontal="left" vertical="center" wrapText="1"/>
    </xf>
    <xf numFmtId="0" fontId="25" fillId="36" borderId="1" xfId="6" applyNumberFormat="1" applyFont="1" applyFill="1" applyBorder="1" applyAlignment="1">
      <alignment horizontal="left" vertical="center" wrapText="1"/>
    </xf>
    <xf numFmtId="0" fontId="40" fillId="17" borderId="28" xfId="6" applyFont="1" applyFill="1" applyBorder="1" applyAlignment="1" applyProtection="1">
      <alignment vertical="center"/>
    </xf>
    <xf numFmtId="0" fontId="23" fillId="0" borderId="1" xfId="6" applyFont="1" applyFill="1" applyBorder="1" applyAlignment="1">
      <alignment horizontal="left" vertical="center" wrapText="1"/>
    </xf>
    <xf numFmtId="0" fontId="25" fillId="0" borderId="1" xfId="6" applyFont="1" applyFill="1" applyBorder="1" applyAlignment="1">
      <alignment horizontal="left" vertical="center" wrapText="1"/>
    </xf>
    <xf numFmtId="0" fontId="23" fillId="0" borderId="25" xfId="6" applyFont="1" applyFill="1" applyBorder="1" applyAlignment="1">
      <alignment horizontal="left" vertical="center" wrapText="1"/>
    </xf>
    <xf numFmtId="0" fontId="23" fillId="0" borderId="16" xfId="6" applyFont="1" applyFill="1" applyBorder="1" applyAlignment="1">
      <alignment horizontal="left" vertical="center" wrapText="1"/>
    </xf>
    <xf numFmtId="0" fontId="25" fillId="0" borderId="16" xfId="6" applyFont="1" applyFill="1" applyBorder="1" applyAlignment="1">
      <alignment horizontal="left" vertical="center" wrapText="1"/>
    </xf>
    <xf numFmtId="49" fontId="25" fillId="0" borderId="28" xfId="6" applyNumberFormat="1" applyFont="1" applyFill="1" applyBorder="1" applyAlignment="1">
      <alignment horizontal="left" vertical="center" wrapText="1"/>
    </xf>
    <xf numFmtId="49" fontId="25" fillId="0" borderId="25" xfId="6" applyNumberFormat="1" applyFont="1" applyFill="1" applyBorder="1" applyAlignment="1">
      <alignment horizontal="left" vertical="center" wrapText="1"/>
    </xf>
    <xf numFmtId="0" fontId="26" fillId="0" borderId="13" xfId="6" applyFont="1" applyFill="1" applyBorder="1" applyAlignment="1">
      <alignment horizontal="left" vertical="center" wrapText="1"/>
    </xf>
    <xf numFmtId="49" fontId="26" fillId="0" borderId="12" xfId="6" applyNumberFormat="1" applyFont="1" applyFill="1" applyBorder="1" applyAlignment="1">
      <alignment horizontal="left" vertical="center" wrapText="1"/>
    </xf>
    <xf numFmtId="49" fontId="26" fillId="0" borderId="25" xfId="6" applyNumberFormat="1" applyFont="1" applyFill="1" applyBorder="1" applyAlignment="1">
      <alignment horizontal="left" vertical="center" wrapText="1"/>
    </xf>
    <xf numFmtId="0" fontId="26" fillId="0" borderId="1" xfId="6" applyFont="1" applyFill="1" applyBorder="1" applyAlignment="1">
      <alignment horizontal="left" vertical="center"/>
    </xf>
    <xf numFmtId="0" fontId="26" fillId="0" borderId="10" xfId="6" applyFont="1" applyFill="1" applyBorder="1" applyAlignment="1">
      <alignment horizontal="left" vertical="center"/>
    </xf>
    <xf numFmtId="0" fontId="22" fillId="0" borderId="0" xfId="6" applyBorder="1" applyAlignment="1">
      <alignment horizontal="left" vertical="center" wrapText="1"/>
    </xf>
    <xf numFmtId="0" fontId="22" fillId="0" borderId="0" xfId="6" applyFont="1" applyBorder="1" applyAlignment="1">
      <alignment vertical="center" wrapText="1"/>
    </xf>
    <xf numFmtId="0" fontId="22" fillId="0" borderId="0" xfId="6" applyFont="1" applyBorder="1" applyAlignment="1">
      <alignment horizontal="left" vertical="center" wrapText="1"/>
    </xf>
    <xf numFmtId="0" fontId="6" fillId="0" borderId="0" xfId="6" applyFont="1" applyBorder="1" applyAlignment="1">
      <alignment horizontal="left" vertical="center" wrapText="1"/>
    </xf>
    <xf numFmtId="0" fontId="22" fillId="0" borderId="0" xfId="6" applyBorder="1" applyAlignment="1">
      <alignment vertical="center" wrapText="1"/>
    </xf>
    <xf numFmtId="0" fontId="39" fillId="0" borderId="0" xfId="6" applyFont="1" applyBorder="1" applyAlignment="1">
      <alignment horizontal="left" vertical="center" wrapText="1"/>
    </xf>
    <xf numFmtId="0" fontId="7" fillId="0" borderId="0" xfId="6" applyFont="1" applyBorder="1" applyAlignment="1">
      <alignment horizontal="left" vertical="center" wrapText="1"/>
    </xf>
    <xf numFmtId="0" fontId="23" fillId="0" borderId="21" xfId="6" applyFont="1" applyFill="1" applyBorder="1" applyAlignment="1">
      <alignment horizontal="left" vertical="center" wrapText="1"/>
    </xf>
    <xf numFmtId="0" fontId="25" fillId="0" borderId="0" xfId="6" applyFont="1" applyFill="1" applyBorder="1" applyAlignment="1">
      <alignment horizontal="left" vertical="center" wrapText="1"/>
    </xf>
    <xf numFmtId="0" fontId="26" fillId="0" borderId="0" xfId="6" applyFont="1" applyFill="1" applyBorder="1" applyAlignment="1">
      <alignment horizontal="left" vertical="center" wrapText="1"/>
    </xf>
    <xf numFmtId="0" fontId="25" fillId="37" borderId="1" xfId="11" applyFont="1" applyFill="1" applyBorder="1" applyAlignment="1">
      <alignment horizontal="left" vertical="center" wrapText="1"/>
    </xf>
    <xf numFmtId="0" fontId="26" fillId="9" borderId="10" xfId="11" applyFont="1" applyFill="1" applyBorder="1" applyAlignment="1">
      <alignment horizontal="left" vertical="center" wrapText="1"/>
    </xf>
    <xf numFmtId="0" fontId="26" fillId="9" borderId="1" xfId="11" applyFont="1" applyFill="1" applyBorder="1" applyAlignment="1">
      <alignment horizontal="left" vertical="center" wrapText="1"/>
    </xf>
    <xf numFmtId="0" fontId="26" fillId="9" borderId="13" xfId="11" applyFont="1" applyFill="1" applyBorder="1" applyAlignment="1">
      <alignment horizontal="left" vertical="center" wrapText="1"/>
    </xf>
    <xf numFmtId="0" fontId="25" fillId="37" borderId="16" xfId="11" applyFont="1" applyFill="1" applyBorder="1" applyAlignment="1">
      <alignment horizontal="left" vertical="center" wrapText="1"/>
    </xf>
    <xf numFmtId="0" fontId="23" fillId="37" borderId="1" xfId="11" applyFont="1" applyFill="1" applyBorder="1" applyAlignment="1">
      <alignment horizontal="left" vertical="center" wrapText="1"/>
    </xf>
    <xf numFmtId="0" fontId="23" fillId="37" borderId="16" xfId="11" applyFont="1" applyFill="1" applyBorder="1" applyAlignment="1">
      <alignment horizontal="left" vertical="center" wrapText="1"/>
    </xf>
    <xf numFmtId="0" fontId="1" fillId="0" borderId="0" xfId="0" applyFont="1" applyFill="1" applyBorder="1" applyAlignment="1">
      <alignment horizontal="center" vertical="center"/>
    </xf>
    <xf numFmtId="0" fontId="5" fillId="0" borderId="0" xfId="6" applyFont="1">
      <alignment vertical="center"/>
    </xf>
    <xf numFmtId="0" fontId="2" fillId="39" borderId="1" xfId="10" applyFont="1" applyFill="1" applyBorder="1" applyAlignment="1">
      <alignment horizontal="left" vertical="center" wrapText="1"/>
    </xf>
    <xf numFmtId="0" fontId="2" fillId="18" borderId="1" xfId="0" applyFont="1" applyFill="1" applyBorder="1" applyAlignment="1" applyProtection="1">
      <alignment horizontal="left" vertical="center" wrapText="1"/>
      <protection locked="0"/>
    </xf>
    <xf numFmtId="0" fontId="2" fillId="39" borderId="1" xfId="0" applyFont="1" applyFill="1" applyBorder="1" applyAlignment="1">
      <alignment vertical="center"/>
    </xf>
    <xf numFmtId="0" fontId="2" fillId="18" borderId="1" xfId="0" applyFont="1" applyFill="1" applyBorder="1" applyAlignment="1">
      <alignment horizontal="left" vertical="center"/>
    </xf>
    <xf numFmtId="0" fontId="6" fillId="0" borderId="0" xfId="7" applyFont="1" applyAlignment="1">
      <alignment horizontal="left" vertical="center"/>
    </xf>
    <xf numFmtId="0" fontId="2" fillId="18" borderId="1" xfId="0" applyFont="1" applyFill="1" applyBorder="1" applyAlignment="1" applyProtection="1">
      <alignment horizontal="left" vertical="center"/>
      <protection locked="0"/>
    </xf>
    <xf numFmtId="0" fontId="6" fillId="0" borderId="0" xfId="7" applyFont="1" applyAlignment="1">
      <alignment horizontal="left" vertical="center" wrapText="1"/>
    </xf>
    <xf numFmtId="0" fontId="2" fillId="18" borderId="1" xfId="0" applyFont="1" applyFill="1" applyBorder="1" applyAlignment="1">
      <alignment horizontal="left" vertical="center" wrapText="1"/>
    </xf>
    <xf numFmtId="0" fontId="2" fillId="39" borderId="1" xfId="6" applyFont="1" applyFill="1" applyBorder="1" applyAlignment="1">
      <alignment vertical="center"/>
    </xf>
    <xf numFmtId="0" fontId="2" fillId="18" borderId="1" xfId="6" applyFont="1" applyFill="1" applyBorder="1" applyAlignment="1" applyProtection="1">
      <alignment horizontal="left" vertical="center"/>
      <protection locked="0"/>
    </xf>
    <xf numFmtId="0" fontId="29" fillId="39" borderId="1" xfId="10" applyFont="1" applyFill="1" applyBorder="1" applyAlignment="1">
      <alignment horizontal="left" vertical="center" wrapText="1"/>
    </xf>
    <xf numFmtId="0" fontId="29" fillId="18" borderId="1" xfId="0" applyFont="1" applyFill="1" applyBorder="1" applyAlignment="1">
      <alignment horizontal="left" vertical="center" wrapText="1"/>
    </xf>
    <xf numFmtId="176" fontId="29" fillId="18" borderId="1" xfId="0" applyNumberFormat="1" applyFont="1" applyFill="1" applyBorder="1" applyAlignment="1">
      <alignment horizontal="left" vertical="center" wrapText="1"/>
    </xf>
    <xf numFmtId="0" fontId="0" fillId="0" borderId="0" xfId="0" applyFill="1" applyAlignment="1">
      <alignment vertical="center"/>
    </xf>
    <xf numFmtId="0" fontId="5" fillId="23" borderId="3" xfId="0" applyFont="1" applyFill="1" applyBorder="1" applyAlignment="1">
      <alignment horizontal="left" vertical="center" wrapText="1"/>
    </xf>
    <xf numFmtId="0" fontId="5" fillId="23" borderId="4" xfId="0" applyFont="1" applyFill="1" applyBorder="1" applyAlignment="1">
      <alignment horizontal="left" vertical="center" wrapText="1"/>
    </xf>
    <xf numFmtId="0" fontId="5" fillId="23" borderId="35" xfId="0" applyFont="1" applyFill="1" applyBorder="1" applyAlignment="1">
      <alignment horizontal="left" vertical="center" wrapText="1"/>
    </xf>
    <xf numFmtId="0" fontId="5" fillId="23" borderId="23" xfId="0" applyFont="1" applyFill="1" applyBorder="1" applyAlignment="1">
      <alignment horizontal="left" vertical="center" wrapText="1"/>
    </xf>
    <xf numFmtId="0" fontId="5" fillId="23" borderId="31" xfId="0" applyFont="1" applyFill="1" applyBorder="1" applyAlignment="1">
      <alignment horizontal="left" vertical="center" wrapText="1"/>
    </xf>
    <xf numFmtId="0" fontId="5" fillId="23" borderId="5" xfId="0" applyFont="1" applyFill="1" applyBorder="1" applyAlignment="1">
      <alignment horizontal="left" vertical="center" wrapText="1"/>
    </xf>
    <xf numFmtId="0" fontId="1" fillId="23" borderId="3" xfId="0" applyFont="1" applyFill="1" applyBorder="1" applyAlignment="1">
      <alignment vertical="center" wrapText="1"/>
    </xf>
    <xf numFmtId="0" fontId="1" fillId="23" borderId="4" xfId="0" applyFont="1" applyFill="1" applyBorder="1" applyAlignment="1">
      <alignment vertical="center" wrapText="1"/>
    </xf>
    <xf numFmtId="0" fontId="1" fillId="23" borderId="3" xfId="0" applyFont="1" applyFill="1" applyBorder="1" applyAlignment="1">
      <alignment horizontal="left" vertical="center" wrapText="1"/>
    </xf>
    <xf numFmtId="0" fontId="1" fillId="23" borderId="4" xfId="0" applyFont="1" applyFill="1" applyBorder="1" applyAlignment="1">
      <alignment horizontal="left" vertical="center" wrapText="1"/>
    </xf>
    <xf numFmtId="0" fontId="5" fillId="13" borderId="10" xfId="0" applyFont="1" applyFill="1" applyBorder="1" applyAlignment="1">
      <alignment horizontal="left" vertical="center" wrapText="1"/>
    </xf>
    <xf numFmtId="0" fontId="1" fillId="23" borderId="5" xfId="0" applyFont="1" applyFill="1" applyBorder="1" applyAlignment="1">
      <alignment horizontal="left" vertical="center" wrapText="1"/>
    </xf>
    <xf numFmtId="0" fontId="4" fillId="25" borderId="10" xfId="0" applyFont="1" applyFill="1" applyBorder="1" applyAlignment="1">
      <alignment horizontal="left" vertical="center" wrapText="1"/>
    </xf>
    <xf numFmtId="0" fontId="1" fillId="25" borderId="10" xfId="0" applyFont="1" applyFill="1" applyBorder="1" applyAlignment="1">
      <alignment horizontal="left" vertical="center" wrapText="1"/>
    </xf>
    <xf numFmtId="0" fontId="5" fillId="13" borderId="1" xfId="0" applyFont="1" applyFill="1" applyBorder="1" applyAlignment="1">
      <alignment horizontal="left" vertical="center"/>
    </xf>
    <xf numFmtId="0" fontId="4" fillId="25" borderId="1" xfId="0" applyFont="1" applyFill="1" applyBorder="1" applyAlignment="1">
      <alignment horizontal="left" vertical="center" wrapText="1"/>
    </xf>
    <xf numFmtId="0" fontId="1" fillId="25" borderId="27" xfId="0" applyFont="1" applyFill="1" applyBorder="1" applyAlignment="1">
      <alignment horizontal="left" vertical="center" wrapText="1"/>
    </xf>
    <xf numFmtId="0" fontId="1" fillId="8" borderId="1" xfId="0" applyFont="1" applyFill="1" applyBorder="1" applyAlignment="1">
      <alignment horizontal="left" vertical="center" wrapText="1"/>
    </xf>
    <xf numFmtId="0" fontId="1" fillId="8" borderId="10" xfId="0" applyFont="1" applyFill="1" applyBorder="1" applyAlignment="1">
      <alignment horizontal="left" vertical="center"/>
    </xf>
    <xf numFmtId="0" fontId="1" fillId="8" borderId="1" xfId="0" applyFont="1" applyFill="1" applyBorder="1" applyAlignment="1">
      <alignment horizontal="left" vertical="center"/>
    </xf>
    <xf numFmtId="0" fontId="1" fillId="0" borderId="10" xfId="0" applyFont="1" applyFill="1" applyBorder="1" applyAlignment="1">
      <alignment horizontal="left" vertical="center"/>
    </xf>
    <xf numFmtId="0" fontId="5" fillId="8" borderId="1" xfId="0" applyFont="1" applyFill="1" applyBorder="1" applyAlignment="1">
      <alignment horizontal="left" vertical="center"/>
    </xf>
    <xf numFmtId="0" fontId="1" fillId="8" borderId="38" xfId="0" applyFont="1" applyFill="1" applyBorder="1" applyAlignment="1">
      <alignment horizontal="left" vertical="center" wrapText="1"/>
    </xf>
    <xf numFmtId="0" fontId="1" fillId="8" borderId="34" xfId="0" applyFont="1" applyFill="1" applyBorder="1" applyAlignment="1">
      <alignment horizontal="left" vertical="center" wrapText="1"/>
    </xf>
    <xf numFmtId="0" fontId="1" fillId="22" borderId="7" xfId="0" applyFont="1" applyFill="1" applyBorder="1" applyAlignment="1">
      <alignment horizontal="left" vertical="center" wrapText="1"/>
    </xf>
    <xf numFmtId="2" fontId="4" fillId="25" borderId="13" xfId="0" applyNumberFormat="1" applyFont="1" applyFill="1" applyBorder="1" applyAlignment="1">
      <alignment horizontal="left" vertical="center" wrapText="1"/>
    </xf>
    <xf numFmtId="0" fontId="5" fillId="25" borderId="1" xfId="0" applyFont="1" applyFill="1" applyBorder="1" applyAlignment="1">
      <alignment horizontal="left" vertical="center" wrapText="1"/>
    </xf>
    <xf numFmtId="0" fontId="1" fillId="22" borderId="10" xfId="0" applyFont="1" applyFill="1" applyBorder="1" applyAlignment="1">
      <alignment horizontal="left" vertical="center" wrapText="1"/>
    </xf>
    <xf numFmtId="0" fontId="1" fillId="22" borderId="13" xfId="0" applyFont="1" applyFill="1" applyBorder="1" applyAlignment="1">
      <alignment horizontal="left" vertical="center" wrapText="1"/>
    </xf>
    <xf numFmtId="0" fontId="1" fillId="25" borderId="13" xfId="0" applyFont="1" applyFill="1" applyBorder="1" applyAlignment="1">
      <alignment horizontal="left" vertical="center" wrapText="1"/>
    </xf>
    <xf numFmtId="0" fontId="4" fillId="9" borderId="1" xfId="0" applyFont="1" applyFill="1" applyBorder="1" applyAlignment="1">
      <alignment horizontal="left" vertical="center" wrapText="1"/>
    </xf>
    <xf numFmtId="0" fontId="1" fillId="25" borderId="1" xfId="0" applyFont="1" applyFill="1" applyBorder="1" applyAlignment="1">
      <alignment horizontal="left" vertical="center" wrapText="1"/>
    </xf>
    <xf numFmtId="0" fontId="4" fillId="25" borderId="13" xfId="0" applyFont="1" applyFill="1" applyBorder="1" applyAlignment="1">
      <alignment horizontal="left" vertical="center" wrapText="1"/>
    </xf>
    <xf numFmtId="0" fontId="1" fillId="14" borderId="1" xfId="0" applyFont="1" applyFill="1" applyBorder="1" applyAlignment="1">
      <alignment horizontal="left" vertical="center" wrapText="1"/>
    </xf>
    <xf numFmtId="0" fontId="4" fillId="18" borderId="24" xfId="0" applyFont="1" applyFill="1" applyBorder="1" applyAlignment="1">
      <alignment horizontal="center" vertical="center" wrapText="1"/>
    </xf>
    <xf numFmtId="0" fontId="4" fillId="25" borderId="10" xfId="0" applyNumberFormat="1" applyFont="1" applyFill="1" applyBorder="1" applyAlignment="1">
      <alignment horizontal="left" vertical="center" wrapText="1"/>
    </xf>
    <xf numFmtId="0" fontId="4" fillId="22" borderId="1" xfId="0" applyFont="1" applyFill="1" applyBorder="1" applyAlignment="1">
      <alignment horizontal="left" vertical="center" wrapText="1"/>
    </xf>
    <xf numFmtId="0" fontId="4" fillId="18" borderId="22" xfId="0" applyFont="1" applyFill="1" applyBorder="1" applyAlignment="1">
      <alignment horizontal="center" vertical="center" wrapText="1"/>
    </xf>
    <xf numFmtId="0" fontId="4" fillId="18" borderId="23" xfId="0" applyFont="1" applyFill="1" applyBorder="1" applyAlignment="1">
      <alignment horizontal="center" vertical="center" wrapText="1"/>
    </xf>
    <xf numFmtId="0" fontId="4" fillId="22" borderId="13" xfId="0" applyFont="1" applyFill="1" applyBorder="1" applyAlignment="1">
      <alignment horizontal="left" vertical="center" wrapText="1"/>
    </xf>
    <xf numFmtId="0" fontId="4" fillId="25" borderId="16" xfId="0" applyFont="1" applyFill="1" applyBorder="1" applyAlignment="1">
      <alignment horizontal="left" vertical="center" wrapText="1"/>
    </xf>
    <xf numFmtId="0" fontId="4" fillId="22" borderId="7" xfId="0" applyFont="1" applyFill="1" applyBorder="1" applyAlignment="1">
      <alignment horizontal="left" vertical="center" wrapText="1"/>
    </xf>
    <xf numFmtId="0" fontId="4" fillId="25" borderId="27" xfId="0" applyFont="1" applyFill="1" applyBorder="1" applyAlignment="1">
      <alignment horizontal="left" vertical="center" wrapText="1"/>
    </xf>
    <xf numFmtId="0" fontId="5" fillId="22" borderId="7" xfId="0" applyFont="1" applyFill="1" applyBorder="1" applyAlignment="1">
      <alignment horizontal="left" vertical="center" wrapText="1"/>
    </xf>
    <xf numFmtId="0" fontId="1" fillId="23" borderId="31" xfId="0" applyFont="1" applyFill="1" applyBorder="1" applyAlignment="1">
      <alignment horizontal="left" vertical="center" wrapText="1"/>
    </xf>
    <xf numFmtId="0" fontId="1" fillId="27" borderId="11" xfId="0" applyFont="1" applyFill="1" applyBorder="1" applyAlignment="1"/>
    <xf numFmtId="0" fontId="4" fillId="22" borderId="10" xfId="0" applyFont="1" applyFill="1" applyBorder="1" applyAlignment="1">
      <alignment horizontal="left" vertical="center" wrapText="1"/>
    </xf>
    <xf numFmtId="0" fontId="1" fillId="27" borderId="21" xfId="0" applyFont="1" applyFill="1" applyBorder="1" applyAlignment="1"/>
    <xf numFmtId="0" fontId="0" fillId="18" borderId="9" xfId="0" applyFont="1" applyFill="1" applyBorder="1" applyAlignment="1">
      <alignment horizontal="center" vertical="center" wrapText="1"/>
    </xf>
    <xf numFmtId="0" fontId="0" fillId="18" borderId="10" xfId="0" applyFont="1" applyFill="1" applyBorder="1" applyAlignment="1">
      <alignment horizontal="center" vertical="center" wrapText="1"/>
    </xf>
    <xf numFmtId="0" fontId="0" fillId="18" borderId="1" xfId="0" applyFont="1" applyFill="1" applyBorder="1" applyAlignment="1">
      <alignment horizontal="center" vertical="center" wrapText="1"/>
    </xf>
    <xf numFmtId="0" fontId="0" fillId="18" borderId="21" xfId="0" applyFont="1" applyFill="1" applyBorder="1" applyAlignment="1">
      <alignment horizontal="center" vertical="center" wrapText="1"/>
    </xf>
    <xf numFmtId="0" fontId="4" fillId="32" borderId="33" xfId="0" applyFont="1" applyFill="1" applyBorder="1" applyAlignment="1">
      <alignment vertical="center" wrapText="1"/>
    </xf>
    <xf numFmtId="0" fontId="4" fillId="32" borderId="1" xfId="0" applyNumberFormat="1" applyFont="1" applyFill="1" applyBorder="1" applyAlignment="1">
      <alignment horizontal="left" vertical="center" wrapText="1"/>
    </xf>
    <xf numFmtId="0" fontId="1" fillId="25" borderId="1" xfId="0" applyNumberFormat="1" applyFont="1" applyFill="1" applyBorder="1" applyAlignment="1">
      <alignment horizontal="left" vertical="center" wrapText="1"/>
    </xf>
    <xf numFmtId="0" fontId="4" fillId="32" borderId="34" xfId="0" applyFont="1" applyFill="1" applyBorder="1" applyAlignment="1">
      <alignment horizontal="left" vertical="center" wrapText="1"/>
    </xf>
    <xf numFmtId="0" fontId="4" fillId="27" borderId="21" xfId="0" applyFont="1" applyFill="1" applyBorder="1" applyAlignment="1">
      <alignment horizontal="left" vertical="center" wrapText="1"/>
    </xf>
    <xf numFmtId="0" fontId="1" fillId="25" borderId="1" xfId="0" applyFont="1" applyFill="1" applyBorder="1" applyAlignment="1">
      <alignment horizontal="left" vertical="center"/>
    </xf>
    <xf numFmtId="0" fontId="1" fillId="27" borderId="21" xfId="0" applyFont="1" applyFill="1" applyBorder="1" applyAlignment="1">
      <alignment wrapText="1"/>
    </xf>
    <xf numFmtId="0" fontId="1" fillId="27" borderId="14" xfId="0" applyFont="1" applyFill="1" applyBorder="1" applyAlignment="1">
      <alignment wrapText="1"/>
    </xf>
    <xf numFmtId="0" fontId="1" fillId="32" borderId="0" xfId="0" applyFont="1" applyFill="1" applyAlignment="1"/>
    <xf numFmtId="0" fontId="4" fillId="25" borderId="1" xfId="0" applyFont="1" applyFill="1" applyBorder="1" applyAlignment="1">
      <alignment horizontal="left" vertical="center"/>
    </xf>
    <xf numFmtId="0" fontId="4" fillId="25" borderId="1" xfId="0" applyNumberFormat="1" applyFont="1" applyFill="1" applyBorder="1" applyAlignment="1">
      <alignment horizontal="left" vertical="center" wrapText="1"/>
    </xf>
    <xf numFmtId="0" fontId="0" fillId="0" borderId="1" xfId="0" applyFont="1" applyBorder="1">
      <alignment vertical="center"/>
    </xf>
    <xf numFmtId="0" fontId="0" fillId="0" borderId="1" xfId="0" applyFont="1" applyBorder="1" applyAlignment="1">
      <alignment vertical="center" wrapText="1"/>
    </xf>
    <xf numFmtId="0" fontId="25" fillId="18" borderId="22" xfId="6" applyFont="1" applyFill="1" applyBorder="1" applyAlignment="1">
      <alignment horizontal="center" vertical="center" wrapText="1"/>
    </xf>
    <xf numFmtId="0" fontId="25" fillId="18" borderId="23" xfId="6" applyFont="1" applyFill="1" applyBorder="1" applyAlignment="1">
      <alignment horizontal="center" vertical="center" wrapText="1"/>
    </xf>
    <xf numFmtId="0" fontId="25" fillId="18" borderId="24" xfId="6" applyFont="1" applyFill="1" applyBorder="1" applyAlignment="1">
      <alignment horizontal="center" vertical="center" wrapText="1"/>
    </xf>
    <xf numFmtId="0" fontId="25" fillId="18" borderId="25" xfId="6" applyFont="1" applyFill="1" applyBorder="1" applyAlignment="1">
      <alignment horizontal="center" vertical="center" wrapText="1"/>
    </xf>
    <xf numFmtId="0" fontId="25" fillId="18" borderId="1" xfId="6" applyFont="1" applyFill="1" applyBorder="1" applyAlignment="1">
      <alignment horizontal="center" vertical="center" wrapText="1"/>
    </xf>
    <xf numFmtId="0" fontId="25" fillId="18" borderId="21" xfId="6" applyFont="1" applyFill="1" applyBorder="1" applyAlignment="1">
      <alignment horizontal="center" vertical="center" wrapText="1"/>
    </xf>
    <xf numFmtId="0" fontId="25" fillId="18" borderId="44" xfId="6" applyFont="1" applyFill="1" applyBorder="1" applyAlignment="1">
      <alignment horizontal="center" vertical="center" wrapText="1"/>
    </xf>
    <xf numFmtId="0" fontId="25" fillId="18" borderId="45" xfId="6" applyFont="1" applyFill="1" applyBorder="1" applyAlignment="1">
      <alignment horizontal="center" vertical="center" wrapText="1"/>
    </xf>
    <xf numFmtId="0" fontId="25" fillId="18" borderId="47" xfId="6" applyFont="1" applyFill="1" applyBorder="1" applyAlignment="1">
      <alignment horizontal="center" vertical="center" wrapText="1"/>
    </xf>
    <xf numFmtId="0" fontId="23" fillId="0" borderId="46" xfId="6" applyFont="1" applyBorder="1" applyAlignment="1">
      <alignment horizontal="center" vertical="center" wrapText="1"/>
    </xf>
    <xf numFmtId="0" fontId="27" fillId="17" borderId="9" xfId="6" applyFont="1" applyFill="1" applyBorder="1" applyAlignment="1" applyProtection="1">
      <alignment horizontal="left" vertical="center"/>
    </xf>
    <xf numFmtId="0" fontId="27" fillId="17" borderId="10" xfId="6" applyFont="1" applyFill="1" applyBorder="1" applyAlignment="1" applyProtection="1">
      <alignment horizontal="left" vertical="center"/>
    </xf>
    <xf numFmtId="0" fontId="27" fillId="17" borderId="11" xfId="6" applyFont="1" applyFill="1" applyBorder="1" applyAlignment="1" applyProtection="1">
      <alignment horizontal="left" vertical="center"/>
    </xf>
    <xf numFmtId="0" fontId="40" fillId="17" borderId="16" xfId="6" applyFont="1" applyFill="1" applyBorder="1" applyAlignment="1" applyProtection="1">
      <alignment horizontal="left" vertical="center"/>
    </xf>
    <xf numFmtId="176" fontId="40" fillId="17" borderId="16" xfId="6" applyNumberFormat="1" applyFont="1" applyFill="1" applyBorder="1" applyAlignment="1" applyProtection="1">
      <alignment horizontal="left" vertical="center"/>
    </xf>
    <xf numFmtId="176" fontId="40" fillId="17" borderId="29" xfId="6" applyNumberFormat="1" applyFont="1" applyFill="1" applyBorder="1" applyAlignment="1" applyProtection="1">
      <alignment horizontal="left" vertical="center"/>
    </xf>
    <xf numFmtId="0" fontId="26" fillId="16" borderId="21" xfId="6" applyFont="1" applyFill="1" applyBorder="1" applyAlignment="1">
      <alignment wrapText="1"/>
    </xf>
    <xf numFmtId="0" fontId="26" fillId="16" borderId="14" xfId="6" applyFont="1" applyFill="1" applyBorder="1" applyAlignment="1"/>
    <xf numFmtId="0" fontId="25" fillId="18" borderId="10" xfId="6" applyFont="1" applyFill="1" applyBorder="1" applyAlignment="1">
      <alignment horizontal="center" vertical="center" wrapText="1"/>
    </xf>
    <xf numFmtId="0" fontId="25" fillId="18" borderId="11" xfId="6" applyFont="1" applyFill="1" applyBorder="1" applyAlignment="1">
      <alignment horizontal="center" vertical="center" wrapText="1"/>
    </xf>
    <xf numFmtId="0" fontId="24" fillId="33" borderId="44" xfId="6" applyFont="1" applyFill="1" applyBorder="1" applyAlignment="1">
      <alignment horizontal="center" vertical="center" wrapText="1"/>
    </xf>
    <xf numFmtId="0" fontId="24" fillId="33" borderId="45" xfId="6" applyFont="1" applyFill="1" applyBorder="1" applyAlignment="1">
      <alignment horizontal="center" vertical="center" wrapText="1"/>
    </xf>
    <xf numFmtId="0" fontId="24" fillId="33" borderId="47" xfId="6" applyFont="1" applyFill="1" applyBorder="1" applyAlignment="1">
      <alignment horizontal="center" vertical="center" wrapText="1"/>
    </xf>
    <xf numFmtId="0" fontId="25" fillId="38" borderId="21" xfId="6" applyFont="1" applyFill="1" applyBorder="1" applyAlignment="1">
      <alignment horizontal="left" vertical="center" wrapText="1"/>
    </xf>
    <xf numFmtId="0" fontId="25" fillId="18" borderId="59" xfId="6" applyFont="1" applyFill="1" applyBorder="1" applyAlignment="1">
      <alignment horizontal="center" vertical="center" wrapText="1"/>
    </xf>
    <xf numFmtId="0" fontId="25" fillId="18" borderId="38" xfId="6" applyFont="1" applyFill="1" applyBorder="1" applyAlignment="1">
      <alignment horizontal="center" vertical="center" wrapText="1"/>
    </xf>
    <xf numFmtId="0" fontId="25" fillId="18" borderId="53" xfId="6" applyFont="1" applyFill="1" applyBorder="1" applyAlignment="1">
      <alignment horizontal="center" vertical="center" wrapText="1"/>
    </xf>
    <xf numFmtId="0" fontId="25" fillId="18" borderId="34" xfId="6" applyFont="1" applyFill="1" applyBorder="1" applyAlignment="1">
      <alignment horizontal="center" vertical="center" wrapText="1"/>
    </xf>
    <xf numFmtId="0" fontId="24" fillId="33" borderId="48" xfId="6" applyFont="1" applyFill="1" applyBorder="1" applyAlignment="1">
      <alignment horizontal="center" vertical="center" wrapText="1"/>
    </xf>
    <xf numFmtId="0" fontId="24" fillId="33" borderId="49" xfId="6" applyFont="1" applyFill="1" applyBorder="1" applyAlignment="1">
      <alignment horizontal="center" vertical="center" wrapText="1"/>
    </xf>
    <xf numFmtId="0" fontId="40" fillId="17" borderId="16" xfId="6" applyFont="1" applyFill="1" applyBorder="1" applyAlignment="1">
      <alignment horizontal="left" vertical="center"/>
    </xf>
    <xf numFmtId="176" fontId="40" fillId="17" borderId="16" xfId="6" applyNumberFormat="1" applyFont="1" applyFill="1" applyBorder="1" applyAlignment="1">
      <alignment horizontal="left" vertical="center"/>
    </xf>
    <xf numFmtId="176" fontId="40" fillId="17" borderId="29" xfId="6" applyNumberFormat="1" applyFont="1" applyFill="1" applyBorder="1" applyAlignment="1">
      <alignment horizontal="left" vertical="center"/>
    </xf>
    <xf numFmtId="0" fontId="27" fillId="17" borderId="9" xfId="6" applyFont="1" applyFill="1" applyBorder="1" applyAlignment="1">
      <alignment horizontal="left" vertical="center"/>
    </xf>
    <xf numFmtId="0" fontId="27" fillId="17" borderId="10" xfId="6" applyFont="1" applyFill="1" applyBorder="1" applyAlignment="1">
      <alignment horizontal="left" vertical="center"/>
    </xf>
    <xf numFmtId="0" fontId="27" fillId="17" borderId="11" xfId="6" applyFont="1" applyFill="1" applyBorder="1" applyAlignment="1">
      <alignment horizontal="left" vertical="center"/>
    </xf>
    <xf numFmtId="0" fontId="12" fillId="19" borderId="3" xfId="0" applyFont="1" applyFill="1" applyBorder="1" applyAlignment="1">
      <alignment horizontal="center" vertical="center" wrapText="1"/>
    </xf>
    <xf numFmtId="0" fontId="12" fillId="19" borderId="4" xfId="0" applyFont="1" applyFill="1" applyBorder="1" applyAlignment="1">
      <alignment horizontal="center" vertical="center" wrapText="1"/>
    </xf>
    <xf numFmtId="0" fontId="12" fillId="19" borderId="5" xfId="0" applyFont="1" applyFill="1" applyBorder="1" applyAlignment="1">
      <alignment horizontal="center" vertical="center" wrapText="1"/>
    </xf>
    <xf numFmtId="0" fontId="12" fillId="19" borderId="22" xfId="0" applyFont="1" applyFill="1" applyBorder="1" applyAlignment="1">
      <alignment horizontal="center" vertical="center" wrapText="1"/>
    </xf>
    <xf numFmtId="0" fontId="12" fillId="19" borderId="23" xfId="0" applyFont="1" applyFill="1" applyBorder="1" applyAlignment="1">
      <alignment horizontal="center" vertical="center" wrapText="1"/>
    </xf>
    <xf numFmtId="0" fontId="12" fillId="19" borderId="24" xfId="0" applyFont="1" applyFill="1" applyBorder="1" applyAlignment="1">
      <alignment horizontal="center" vertical="center" wrapText="1"/>
    </xf>
    <xf numFmtId="0" fontId="13" fillId="18" borderId="3" xfId="0" applyFont="1" applyFill="1" applyBorder="1" applyAlignment="1">
      <alignment horizontal="center" vertical="center" wrapText="1"/>
    </xf>
    <xf numFmtId="0" fontId="13" fillId="18" borderId="4" xfId="0" applyFont="1" applyFill="1" applyBorder="1" applyAlignment="1">
      <alignment horizontal="center" vertical="center" wrapText="1"/>
    </xf>
    <xf numFmtId="0" fontId="13" fillId="18" borderId="5" xfId="0" applyFont="1" applyFill="1" applyBorder="1" applyAlignment="1">
      <alignment horizontal="center" vertical="center" wrapText="1"/>
    </xf>
    <xf numFmtId="0" fontId="13" fillId="18" borderId="41" xfId="0" applyFont="1" applyFill="1" applyBorder="1" applyAlignment="1">
      <alignment horizontal="center" vertical="center" wrapText="1"/>
    </xf>
    <xf numFmtId="0" fontId="13" fillId="18" borderId="42" xfId="0" applyFont="1" applyFill="1" applyBorder="1" applyAlignment="1">
      <alignment horizontal="center" vertical="center" wrapText="1"/>
    </xf>
    <xf numFmtId="0" fontId="13" fillId="18" borderId="43" xfId="0" applyFont="1" applyFill="1" applyBorder="1" applyAlignment="1">
      <alignment horizontal="center" vertical="center" wrapText="1"/>
    </xf>
    <xf numFmtId="0" fontId="13" fillId="18" borderId="22" xfId="0" applyFont="1" applyFill="1" applyBorder="1" applyAlignment="1">
      <alignment horizontal="center" vertical="center" wrapText="1"/>
    </xf>
    <xf numFmtId="0" fontId="13" fillId="18" borderId="23" xfId="0" applyFont="1" applyFill="1" applyBorder="1" applyAlignment="1">
      <alignment horizontal="center" vertical="center" wrapText="1"/>
    </xf>
    <xf numFmtId="0" fontId="13" fillId="18" borderId="24" xfId="0" applyFont="1" applyFill="1" applyBorder="1" applyAlignment="1">
      <alignment horizontal="center" vertical="center" wrapText="1"/>
    </xf>
    <xf numFmtId="0" fontId="11" fillId="0" borderId="24" xfId="0" applyFont="1" applyBorder="1" applyAlignment="1"/>
    <xf numFmtId="0" fontId="13" fillId="0" borderId="0" xfId="0" applyFont="1" applyAlignment="1">
      <alignment horizontal="center" vertical="center" wrapText="1"/>
    </xf>
    <xf numFmtId="0" fontId="28" fillId="17" borderId="18" xfId="0" applyFont="1" applyFill="1" applyBorder="1" applyAlignment="1">
      <alignment horizontal="center" vertical="center"/>
    </xf>
    <xf numFmtId="0" fontId="28" fillId="17" borderId="19" xfId="0" applyFont="1" applyFill="1" applyBorder="1" applyAlignment="1">
      <alignment horizontal="center" vertical="center"/>
    </xf>
    <xf numFmtId="0" fontId="28" fillId="17" borderId="20" xfId="0" applyFont="1" applyFill="1" applyBorder="1" applyAlignment="1">
      <alignment horizontal="center" vertical="center"/>
    </xf>
    <xf numFmtId="0" fontId="18" fillId="17" borderId="16" xfId="0" applyFont="1" applyFill="1" applyBorder="1" applyAlignment="1">
      <alignment horizontal="left" vertical="center"/>
    </xf>
    <xf numFmtId="176" fontId="18" fillId="17" borderId="16" xfId="0" applyNumberFormat="1" applyFont="1" applyFill="1" applyBorder="1" applyAlignment="1">
      <alignment horizontal="left" vertical="center"/>
    </xf>
    <xf numFmtId="176" fontId="18" fillId="17" borderId="29" xfId="0" applyNumberFormat="1" applyFont="1" applyFill="1" applyBorder="1" applyAlignment="1">
      <alignment horizontal="left" vertical="center"/>
    </xf>
    <xf numFmtId="0" fontId="11" fillId="0" borderId="0" xfId="0" applyFont="1" applyAlignment="1">
      <alignment horizontal="center" vertical="center"/>
    </xf>
    <xf numFmtId="0" fontId="11" fillId="26" borderId="21" xfId="0" applyFont="1" applyFill="1" applyBorder="1" applyAlignment="1">
      <alignment wrapText="1"/>
    </xf>
    <xf numFmtId="0" fontId="11" fillId="26" borderId="14" xfId="0" applyFont="1" applyFill="1" applyBorder="1" applyAlignment="1"/>
    <xf numFmtId="0" fontId="24" fillId="32" borderId="22" xfId="0" applyFont="1" applyFill="1" applyBorder="1" applyAlignment="1">
      <alignment horizontal="center" vertical="center" wrapText="1"/>
    </xf>
    <xf numFmtId="0" fontId="24" fillId="32" borderId="23" xfId="0" applyFont="1" applyFill="1" applyBorder="1" applyAlignment="1">
      <alignment horizontal="center" vertical="center" wrapText="1"/>
    </xf>
    <xf numFmtId="0" fontId="24" fillId="32" borderId="24" xfId="0" applyFont="1" applyFill="1" applyBorder="1" applyAlignment="1">
      <alignment horizontal="center" vertical="center" wrapText="1"/>
    </xf>
    <xf numFmtId="0" fontId="24" fillId="19" borderId="3" xfId="0" applyFont="1" applyFill="1" applyBorder="1" applyAlignment="1">
      <alignment horizontal="center" vertical="center" wrapText="1"/>
    </xf>
    <xf numFmtId="0" fontId="24" fillId="19" borderId="4" xfId="0" applyFont="1" applyFill="1" applyBorder="1" applyAlignment="1">
      <alignment horizontal="center" vertical="center" wrapText="1"/>
    </xf>
    <xf numFmtId="0" fontId="24" fillId="19" borderId="5" xfId="0" applyFont="1" applyFill="1" applyBorder="1" applyAlignment="1">
      <alignment horizontal="center" vertical="center" wrapText="1"/>
    </xf>
    <xf numFmtId="0" fontId="24" fillId="30" borderId="46" xfId="0" applyFont="1" applyFill="1" applyBorder="1" applyAlignment="1">
      <alignment horizontal="center" vertical="center" wrapText="1"/>
    </xf>
    <xf numFmtId="0" fontId="24" fillId="30" borderId="0" xfId="0" applyFont="1" applyFill="1" applyAlignment="1">
      <alignment horizontal="center" vertical="center" wrapText="1"/>
    </xf>
    <xf numFmtId="0" fontId="25" fillId="18" borderId="3" xfId="0" applyFont="1" applyFill="1" applyBorder="1" applyAlignment="1">
      <alignment horizontal="center" vertical="center" wrapText="1"/>
    </xf>
    <xf numFmtId="0" fontId="25" fillId="18" borderId="4" xfId="0" applyFont="1" applyFill="1" applyBorder="1" applyAlignment="1">
      <alignment horizontal="center" vertical="center" wrapText="1"/>
    </xf>
    <xf numFmtId="0" fontId="25" fillId="18" borderId="5" xfId="0" applyFont="1" applyFill="1" applyBorder="1" applyAlignment="1">
      <alignment horizontal="center" vertical="center" wrapText="1"/>
    </xf>
    <xf numFmtId="0" fontId="25" fillId="18" borderId="41" xfId="0" applyFont="1" applyFill="1" applyBorder="1" applyAlignment="1">
      <alignment horizontal="center" vertical="center" wrapText="1"/>
    </xf>
    <xf numFmtId="0" fontId="25" fillId="18" borderId="42" xfId="0" applyFont="1" applyFill="1" applyBorder="1" applyAlignment="1">
      <alignment horizontal="center" vertical="center" wrapText="1"/>
    </xf>
    <xf numFmtId="0" fontId="25" fillId="18" borderId="43" xfId="0" applyFont="1" applyFill="1" applyBorder="1" applyAlignment="1">
      <alignment horizontal="center" vertical="center" wrapText="1"/>
    </xf>
    <xf numFmtId="0" fontId="25" fillId="18" borderId="22" xfId="0" applyFont="1" applyFill="1" applyBorder="1" applyAlignment="1">
      <alignment horizontal="center" vertical="center" wrapText="1"/>
    </xf>
    <xf numFmtId="0" fontId="25" fillId="18" borderId="23" xfId="0" applyFont="1" applyFill="1" applyBorder="1" applyAlignment="1">
      <alignment horizontal="center" vertical="center" wrapText="1"/>
    </xf>
    <xf numFmtId="0" fontId="25" fillId="18" borderId="24" xfId="0" applyFont="1" applyFill="1" applyBorder="1" applyAlignment="1">
      <alignment horizontal="center" vertical="center" wrapText="1"/>
    </xf>
    <xf numFmtId="0" fontId="23" fillId="0" borderId="24" xfId="0" applyFont="1" applyBorder="1" applyAlignment="1"/>
    <xf numFmtId="0" fontId="25" fillId="18" borderId="48" xfId="0" applyFont="1" applyFill="1" applyBorder="1" applyAlignment="1">
      <alignment horizontal="center" vertical="center" wrapText="1"/>
    </xf>
    <xf numFmtId="0" fontId="25" fillId="18" borderId="49" xfId="0" applyFont="1" applyFill="1" applyBorder="1" applyAlignment="1">
      <alignment horizontal="center" vertical="center" wrapText="1"/>
    </xf>
    <xf numFmtId="0" fontId="25" fillId="18" borderId="50" xfId="0" applyFont="1" applyFill="1" applyBorder="1" applyAlignment="1">
      <alignment horizontal="center" vertical="center" wrapText="1"/>
    </xf>
    <xf numFmtId="0" fontId="27" fillId="17" borderId="18" xfId="0" applyFont="1" applyFill="1" applyBorder="1" applyAlignment="1">
      <alignment horizontal="center" vertical="center"/>
    </xf>
    <xf numFmtId="0" fontId="27" fillId="17" borderId="19" xfId="0" applyFont="1" applyFill="1" applyBorder="1" applyAlignment="1">
      <alignment horizontal="center" vertical="center"/>
    </xf>
    <xf numFmtId="0" fontId="27" fillId="17" borderId="20" xfId="0" applyFont="1" applyFill="1" applyBorder="1" applyAlignment="1">
      <alignment horizontal="center" vertical="center"/>
    </xf>
    <xf numFmtId="0" fontId="27" fillId="17" borderId="16" xfId="0" applyFont="1" applyFill="1" applyBorder="1" applyAlignment="1">
      <alignment horizontal="left" vertical="center"/>
    </xf>
    <xf numFmtId="176" fontId="27" fillId="17" borderId="16" xfId="0" applyNumberFormat="1" applyFont="1" applyFill="1" applyBorder="1" applyAlignment="1">
      <alignment horizontal="left" vertical="center"/>
    </xf>
    <xf numFmtId="176" fontId="27" fillId="17" borderId="29" xfId="0" applyNumberFormat="1" applyFont="1" applyFill="1" applyBorder="1" applyAlignment="1">
      <alignment horizontal="left" vertical="center"/>
    </xf>
    <xf numFmtId="0" fontId="25" fillId="18" borderId="44" xfId="0" applyFont="1" applyFill="1" applyBorder="1" applyAlignment="1">
      <alignment horizontal="center" vertical="center" wrapText="1"/>
    </xf>
    <xf numFmtId="0" fontId="25" fillId="18" borderId="45" xfId="0" applyFont="1" applyFill="1" applyBorder="1" applyAlignment="1">
      <alignment horizontal="center" vertical="center" wrapText="1"/>
    </xf>
    <xf numFmtId="0" fontId="25" fillId="18" borderId="47" xfId="0" applyFont="1" applyFill="1" applyBorder="1" applyAlignment="1">
      <alignment horizontal="center" vertical="center" wrapText="1"/>
    </xf>
    <xf numFmtId="0" fontId="23" fillId="0" borderId="0" xfId="0" applyFont="1" applyAlignment="1">
      <alignment horizontal="center" vertical="center"/>
    </xf>
    <xf numFmtId="0" fontId="23" fillId="26" borderId="14" xfId="0" applyFont="1" applyFill="1" applyBorder="1" applyAlignment="1">
      <alignment wrapText="1"/>
    </xf>
    <xf numFmtId="0" fontId="23" fillId="26" borderId="30" xfId="0" applyFont="1" applyFill="1" applyBorder="1" applyAlignment="1">
      <alignment wrapText="1"/>
    </xf>
    <xf numFmtId="0" fontId="25" fillId="27" borderId="14" xfId="0" applyFont="1" applyFill="1" applyBorder="1" applyAlignment="1">
      <alignment horizontal="left" vertical="center" wrapText="1"/>
    </xf>
    <xf numFmtId="0" fontId="25" fillId="27" borderId="11" xfId="0" applyFont="1" applyFill="1" applyBorder="1" applyAlignment="1">
      <alignment horizontal="left" vertical="center" wrapText="1"/>
    </xf>
    <xf numFmtId="0" fontId="25" fillId="18" borderId="18"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13" fillId="18" borderId="18" xfId="0" applyFont="1" applyFill="1" applyBorder="1" applyAlignment="1">
      <alignment horizontal="center" vertical="center" wrapText="1"/>
    </xf>
    <xf numFmtId="0" fontId="13" fillId="18" borderId="19" xfId="0" applyFont="1" applyFill="1" applyBorder="1" applyAlignment="1">
      <alignment horizontal="center" vertical="center" wrapText="1"/>
    </xf>
    <xf numFmtId="0" fontId="13" fillId="18" borderId="20" xfId="0" applyFont="1" applyFill="1" applyBorder="1" applyAlignment="1">
      <alignment horizontal="center" vertical="center" wrapText="1"/>
    </xf>
    <xf numFmtId="0" fontId="11" fillId="27" borderId="14" xfId="0" applyFont="1" applyFill="1" applyBorder="1" applyAlignment="1">
      <alignment horizontal="left" wrapText="1"/>
    </xf>
    <xf numFmtId="0" fontId="11" fillId="27" borderId="30" xfId="0" applyFont="1" applyFill="1" applyBorder="1" applyAlignment="1">
      <alignment horizontal="left" wrapText="1"/>
    </xf>
    <xf numFmtId="0" fontId="19" fillId="22" borderId="0" xfId="0" applyFont="1" applyFill="1" applyAlignment="1">
      <alignment horizontal="center" vertical="center"/>
    </xf>
    <xf numFmtId="0" fontId="20" fillId="22" borderId="0" xfId="0" applyFont="1" applyFill="1" applyAlignment="1">
      <alignment horizontal="center" vertical="center"/>
    </xf>
    <xf numFmtId="0" fontId="17" fillId="17" borderId="18" xfId="0" applyFont="1" applyFill="1" applyBorder="1" applyAlignment="1">
      <alignment horizontal="center" vertical="center"/>
    </xf>
    <xf numFmtId="0" fontId="17" fillId="17" borderId="19" xfId="0" applyFont="1" applyFill="1" applyBorder="1" applyAlignment="1">
      <alignment horizontal="center" vertical="center"/>
    </xf>
    <xf numFmtId="0" fontId="17" fillId="17" borderId="20" xfId="0" applyFont="1" applyFill="1" applyBorder="1" applyAlignment="1">
      <alignment horizontal="center" vertical="center"/>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2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1" fillId="0" borderId="24" xfId="0" applyFont="1" applyFill="1" applyBorder="1" applyAlignment="1"/>
    <xf numFmtId="0" fontId="1" fillId="0" borderId="0" xfId="0" applyFont="1" applyFill="1" applyBorder="1" applyAlignment="1">
      <alignment horizontal="center" vertical="center"/>
    </xf>
    <xf numFmtId="0" fontId="0" fillId="2" borderId="1" xfId="0" applyFont="1" applyFill="1" applyBorder="1" applyAlignment="1">
      <alignment horizontal="center" vertical="center" wrapText="1"/>
    </xf>
    <xf numFmtId="0" fontId="1" fillId="16" borderId="14" xfId="0" applyFont="1" applyFill="1" applyBorder="1" applyAlignment="1">
      <alignment horizontal="left" wrapText="1"/>
    </xf>
    <xf numFmtId="0" fontId="1" fillId="16" borderId="30" xfId="0" applyFont="1" applyFill="1" applyBorder="1" applyAlignment="1">
      <alignment horizontal="left" wrapText="1"/>
    </xf>
    <xf numFmtId="0" fontId="8" fillId="17" borderId="18" xfId="0" applyFont="1" applyFill="1" applyBorder="1" applyAlignment="1" applyProtection="1">
      <alignment horizontal="center" vertical="center"/>
    </xf>
    <xf numFmtId="0" fontId="8" fillId="17" borderId="19" xfId="0" applyFont="1" applyFill="1" applyBorder="1" applyAlignment="1" applyProtection="1">
      <alignment horizontal="center" vertical="center"/>
    </xf>
    <xf numFmtId="0" fontId="8" fillId="17" borderId="20" xfId="0" applyFont="1" applyFill="1" applyBorder="1" applyAlignment="1" applyProtection="1">
      <alignment horizontal="center" vertical="center"/>
    </xf>
    <xf numFmtId="0" fontId="10" fillId="18" borderId="34" xfId="10" applyFont="1" applyFill="1" applyBorder="1" applyAlignment="1">
      <alignment horizontal="center" vertical="center" wrapText="1"/>
    </xf>
    <xf numFmtId="0" fontId="10" fillId="18" borderId="15" xfId="10" applyFont="1" applyFill="1" applyBorder="1" applyAlignment="1">
      <alignment horizontal="center" vertical="center" wrapText="1"/>
    </xf>
    <xf numFmtId="0" fontId="12" fillId="19" borderId="3" xfId="2" applyFont="1" applyFill="1" applyBorder="1" applyAlignment="1">
      <alignment horizontal="center" vertical="center" wrapText="1"/>
    </xf>
    <xf numFmtId="0" fontId="12" fillId="19" borderId="4" xfId="2" applyFont="1" applyFill="1" applyBorder="1" applyAlignment="1">
      <alignment horizontal="center" vertical="center" wrapText="1"/>
    </xf>
    <xf numFmtId="0" fontId="12" fillId="19" borderId="5" xfId="2" applyFont="1" applyFill="1" applyBorder="1" applyAlignment="1">
      <alignment horizontal="center" vertical="center" wrapText="1"/>
    </xf>
    <xf numFmtId="0" fontId="12" fillId="19" borderId="46" xfId="2" applyFont="1" applyFill="1" applyBorder="1" applyAlignment="1">
      <alignment horizontal="center" vertical="center" wrapText="1"/>
    </xf>
    <xf numFmtId="0" fontId="12" fillId="19" borderId="0" xfId="2" applyFont="1" applyFill="1" applyAlignment="1">
      <alignment horizontal="center" vertical="center" wrapText="1"/>
    </xf>
    <xf numFmtId="0" fontId="13" fillId="18" borderId="3" xfId="2" applyFont="1" applyFill="1" applyBorder="1" applyAlignment="1">
      <alignment horizontal="center" vertical="center" wrapText="1"/>
    </xf>
    <xf numFmtId="0" fontId="13" fillId="18" borderId="4" xfId="2" applyFont="1" applyFill="1" applyBorder="1" applyAlignment="1">
      <alignment horizontal="center" vertical="center" wrapText="1"/>
    </xf>
    <xf numFmtId="0" fontId="13" fillId="18" borderId="5" xfId="2" applyFont="1" applyFill="1" applyBorder="1" applyAlignment="1">
      <alignment horizontal="center" vertical="center" wrapText="1"/>
    </xf>
    <xf numFmtId="0" fontId="11" fillId="0" borderId="0" xfId="2" applyFont="1" applyAlignment="1">
      <alignment horizontal="center" vertical="center"/>
    </xf>
    <xf numFmtId="0" fontId="11" fillId="26" borderId="21" xfId="2" applyFont="1" applyFill="1" applyBorder="1" applyAlignment="1">
      <alignment wrapText="1"/>
    </xf>
    <xf numFmtId="0" fontId="11" fillId="26" borderId="29" xfId="2" applyFont="1" applyFill="1" applyBorder="1" applyAlignment="1"/>
    <xf numFmtId="0" fontId="13" fillId="18" borderId="41" xfId="2" applyFont="1" applyFill="1" applyBorder="1" applyAlignment="1">
      <alignment horizontal="center" vertical="center" wrapText="1"/>
    </xf>
    <xf numFmtId="0" fontId="13" fillId="18" borderId="42" xfId="2" applyFont="1" applyFill="1" applyBorder="1" applyAlignment="1">
      <alignment horizontal="center" vertical="center" wrapText="1"/>
    </xf>
    <xf numFmtId="0" fontId="13" fillId="18" borderId="43" xfId="2" applyFont="1" applyFill="1" applyBorder="1" applyAlignment="1">
      <alignment horizontal="center" vertical="center" wrapText="1"/>
    </xf>
    <xf numFmtId="0" fontId="13" fillId="18" borderId="22" xfId="2" applyFont="1" applyFill="1" applyBorder="1" applyAlignment="1">
      <alignment horizontal="center" vertical="center" wrapText="1"/>
    </xf>
    <xf numFmtId="0" fontId="13" fillId="18" borderId="23" xfId="2" applyFont="1" applyFill="1" applyBorder="1" applyAlignment="1">
      <alignment horizontal="center" vertical="center" wrapText="1"/>
    </xf>
    <xf numFmtId="0" fontId="11" fillId="0" borderId="24" xfId="2" applyFont="1" applyBorder="1" applyAlignment="1"/>
    <xf numFmtId="0" fontId="13" fillId="0" borderId="0" xfId="2" applyFont="1" applyAlignment="1">
      <alignment horizontal="center" vertical="center" wrapText="1"/>
    </xf>
    <xf numFmtId="0" fontId="18" fillId="17" borderId="16" xfId="2" applyFont="1" applyFill="1" applyBorder="1" applyAlignment="1">
      <alignment horizontal="left" vertical="center"/>
    </xf>
    <xf numFmtId="176" fontId="18" fillId="17" borderId="16" xfId="2" applyNumberFormat="1" applyFont="1" applyFill="1" applyBorder="1" applyAlignment="1">
      <alignment horizontal="left" vertical="center"/>
    </xf>
    <xf numFmtId="176" fontId="18" fillId="17" borderId="29" xfId="2" applyNumberFormat="1" applyFont="1" applyFill="1" applyBorder="1" applyAlignment="1">
      <alignment horizontal="left" vertical="center"/>
    </xf>
    <xf numFmtId="0" fontId="12" fillId="19" borderId="3" xfId="4" applyFont="1" applyFill="1" applyBorder="1" applyAlignment="1">
      <alignment horizontal="center" vertical="center" wrapText="1"/>
    </xf>
    <xf numFmtId="0" fontId="12" fillId="19" borderId="4" xfId="4" applyFont="1" applyFill="1" applyBorder="1" applyAlignment="1">
      <alignment horizontal="center" vertical="center" wrapText="1"/>
    </xf>
    <xf numFmtId="0" fontId="12" fillId="19" borderId="5" xfId="4" applyFont="1" applyFill="1" applyBorder="1" applyAlignment="1">
      <alignment horizontal="center" vertical="center" wrapText="1"/>
    </xf>
    <xf numFmtId="0" fontId="12" fillId="19" borderId="46" xfId="4" applyFont="1" applyFill="1" applyBorder="1" applyAlignment="1">
      <alignment horizontal="center" vertical="center" wrapText="1"/>
    </xf>
    <xf numFmtId="0" fontId="12" fillId="19" borderId="0" xfId="4" applyFont="1" applyFill="1" applyAlignment="1">
      <alignment horizontal="center" vertical="center" wrapText="1"/>
    </xf>
    <xf numFmtId="0" fontId="13" fillId="18" borderId="3" xfId="4" applyFont="1" applyFill="1" applyBorder="1" applyAlignment="1">
      <alignment horizontal="center" vertical="center" wrapText="1"/>
    </xf>
    <xf numFmtId="0" fontId="13" fillId="18" borderId="4" xfId="4" applyFont="1" applyFill="1" applyBorder="1" applyAlignment="1">
      <alignment horizontal="center" vertical="center" wrapText="1"/>
    </xf>
    <xf numFmtId="0" fontId="13" fillId="18" borderId="5" xfId="4" applyFont="1" applyFill="1" applyBorder="1" applyAlignment="1">
      <alignment horizontal="center" vertical="center" wrapText="1"/>
    </xf>
    <xf numFmtId="0" fontId="13" fillId="18" borderId="22" xfId="4" applyFont="1" applyFill="1" applyBorder="1" applyAlignment="1">
      <alignment horizontal="center" vertical="center" wrapText="1"/>
    </xf>
    <xf numFmtId="0" fontId="13" fillId="18" borderId="23" xfId="4" applyFont="1" applyFill="1" applyBorder="1" applyAlignment="1">
      <alignment horizontal="center" vertical="center" wrapText="1"/>
    </xf>
    <xf numFmtId="0" fontId="11" fillId="0" borderId="24" xfId="4" applyFont="1" applyBorder="1"/>
    <xf numFmtId="0" fontId="13" fillId="0" borderId="0" xfId="4" applyFont="1" applyAlignment="1">
      <alignment horizontal="center" vertical="center" wrapText="1"/>
    </xf>
    <xf numFmtId="0" fontId="28" fillId="17" borderId="44" xfId="4" applyFont="1" applyFill="1" applyBorder="1" applyAlignment="1">
      <alignment horizontal="left" vertical="center"/>
    </xf>
    <xf numFmtId="0" fontId="28" fillId="17" borderId="45" xfId="4" applyFont="1" applyFill="1" applyBorder="1" applyAlignment="1">
      <alignment horizontal="left" vertical="center"/>
    </xf>
    <xf numFmtId="0" fontId="28" fillId="17" borderId="47" xfId="4" applyFont="1" applyFill="1" applyBorder="1" applyAlignment="1">
      <alignment horizontal="left" vertical="center"/>
    </xf>
    <xf numFmtId="0" fontId="18" fillId="17" borderId="16" xfId="4" applyFont="1" applyFill="1" applyBorder="1" applyAlignment="1">
      <alignment horizontal="left" vertical="center"/>
    </xf>
    <xf numFmtId="176" fontId="18" fillId="17" borderId="16" xfId="4" applyNumberFormat="1" applyFont="1" applyFill="1" applyBorder="1" applyAlignment="1">
      <alignment horizontal="left" vertical="center"/>
    </xf>
    <xf numFmtId="176" fontId="18" fillId="17" borderId="29" xfId="4" applyNumberFormat="1" applyFont="1" applyFill="1" applyBorder="1" applyAlignment="1">
      <alignment horizontal="left" vertical="center"/>
    </xf>
    <xf numFmtId="0" fontId="11" fillId="0" borderId="0" xfId="4" applyFont="1" applyAlignment="1">
      <alignment horizontal="center" vertical="center"/>
    </xf>
    <xf numFmtId="0" fontId="11" fillId="26" borderId="21" xfId="4" applyFont="1" applyFill="1" applyBorder="1" applyAlignment="1">
      <alignment wrapText="1"/>
    </xf>
    <xf numFmtId="0" fontId="11" fillId="26" borderId="29" xfId="4" applyFont="1" applyFill="1" applyBorder="1"/>
    <xf numFmtId="0" fontId="4" fillId="18" borderId="22" xfId="0" applyFont="1" applyFill="1" applyBorder="1" applyAlignment="1">
      <alignment horizontal="center" vertical="center" wrapText="1"/>
    </xf>
    <xf numFmtId="0" fontId="4" fillId="18" borderId="23" xfId="0" applyFont="1" applyFill="1" applyBorder="1" applyAlignment="1">
      <alignment horizontal="center" vertical="center" wrapText="1"/>
    </xf>
    <xf numFmtId="0" fontId="4" fillId="18" borderId="24" xfId="0" applyFont="1" applyFill="1" applyBorder="1" applyAlignment="1">
      <alignment horizontal="center" vertical="center" wrapText="1"/>
    </xf>
    <xf numFmtId="0" fontId="0" fillId="18" borderId="1" xfId="0" applyFont="1" applyFill="1" applyBorder="1" applyAlignment="1">
      <alignment horizontal="center" vertical="center" wrapText="1"/>
    </xf>
    <xf numFmtId="0" fontId="4" fillId="18" borderId="3" xfId="0" applyFont="1" applyFill="1" applyBorder="1" applyAlignment="1">
      <alignment horizontal="center" vertical="center" wrapText="1"/>
    </xf>
    <xf numFmtId="0" fontId="4" fillId="18" borderId="4" xfId="0" applyFont="1" applyFill="1" applyBorder="1" applyAlignment="1">
      <alignment horizontal="center" vertical="center" wrapText="1"/>
    </xf>
    <xf numFmtId="0" fontId="4" fillId="18" borderId="5" xfId="0" applyFont="1" applyFill="1" applyBorder="1" applyAlignment="1">
      <alignment horizontal="center" vertical="center" wrapText="1"/>
    </xf>
    <xf numFmtId="0" fontId="4" fillId="18" borderId="18" xfId="0" applyFont="1" applyFill="1" applyBorder="1" applyAlignment="1">
      <alignment horizontal="center" vertical="center" wrapText="1"/>
    </xf>
    <xf numFmtId="0" fontId="4" fillId="18" borderId="19" xfId="0" applyFont="1" applyFill="1" applyBorder="1" applyAlignment="1">
      <alignment horizontal="center" vertical="center" wrapText="1"/>
    </xf>
    <xf numFmtId="0" fontId="4" fillId="18" borderId="20" xfId="0" applyFont="1" applyFill="1" applyBorder="1" applyAlignment="1">
      <alignment horizontal="center" vertical="center" wrapText="1"/>
    </xf>
    <xf numFmtId="0" fontId="3" fillId="30" borderId="3" xfId="0" applyFont="1" applyFill="1" applyBorder="1" applyAlignment="1">
      <alignment horizontal="center" vertical="center" wrapText="1"/>
    </xf>
    <xf numFmtId="0" fontId="3" fillId="30" borderId="4" xfId="0" applyFont="1" applyFill="1" applyBorder="1" applyAlignment="1">
      <alignment horizontal="center" vertical="center" wrapText="1"/>
    </xf>
    <xf numFmtId="0" fontId="3" fillId="30" borderId="5" xfId="0" applyFont="1" applyFill="1" applyBorder="1" applyAlignment="1">
      <alignment horizontal="center" vertical="center" wrapText="1"/>
    </xf>
    <xf numFmtId="0" fontId="3" fillId="30" borderId="48" xfId="0" applyFont="1" applyFill="1" applyBorder="1" applyAlignment="1">
      <alignment horizontal="center" vertical="center" wrapText="1"/>
    </xf>
    <xf numFmtId="0" fontId="3" fillId="30" borderId="49" xfId="0" applyFont="1" applyFill="1" applyBorder="1" applyAlignment="1">
      <alignment horizontal="center" vertical="center" wrapText="1"/>
    </xf>
    <xf numFmtId="0" fontId="2" fillId="18" borderId="34" xfId="10" applyFont="1" applyFill="1" applyBorder="1" applyAlignment="1">
      <alignment horizontal="center" vertical="center" wrapText="1"/>
    </xf>
    <xf numFmtId="0" fontId="2" fillId="18" borderId="15" xfId="10" applyFont="1" applyFill="1" applyBorder="1" applyAlignment="1">
      <alignment horizontal="center" vertical="center" wrapText="1"/>
    </xf>
  </cellXfs>
  <cellStyles count="12">
    <cellStyle name="常规" xfId="0" builtinId="0"/>
    <cellStyle name="常规 2" xfId="5"/>
    <cellStyle name="常规 2 2" xfId="4"/>
    <cellStyle name="常规 3" xfId="6"/>
    <cellStyle name="常规 3 2" xfId="3"/>
    <cellStyle name="常规 4" xfId="7"/>
    <cellStyle name="常规 4 2" xfId="8"/>
    <cellStyle name="常规 5" xfId="9"/>
    <cellStyle name="常规 6" xfId="2"/>
    <cellStyle name="常规 7" xfId="11"/>
    <cellStyle name="常规_Sheet1" xfId="10"/>
    <cellStyle name="常规_Sheet1 2" xfId="1"/>
  </cellStyles>
  <dxfs count="33">
    <dxf>
      <font>
        <color rgb="FF9C0006"/>
      </font>
      <fill>
        <patternFill>
          <bgColor rgb="FFFFC7CE"/>
        </patternFill>
      </fill>
    </dxf>
    <dxf>
      <font>
        <color rgb="FF006100"/>
      </font>
      <fill>
        <patternFill>
          <bgColor rgb="FFC6EFCE"/>
        </patternFill>
      </fill>
    </dxf>
    <dxf>
      <font>
        <color rgb="FF9C6500"/>
      </font>
      <fill>
        <patternFill>
          <bgColor rgb="FFFFEB9C"/>
        </patternFill>
      </fill>
    </dxf>
    <dxf>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358027</xdr:colOff>
      <xdr:row>61</xdr:row>
      <xdr:rowOff>145676</xdr:rowOff>
    </xdr:from>
    <xdr:to>
      <xdr:col>24</xdr:col>
      <xdr:colOff>0</xdr:colOff>
      <xdr:row>64</xdr:row>
      <xdr:rowOff>44823</xdr:rowOff>
    </xdr:to>
    <xdr:sp macro="" textlink="">
      <xdr:nvSpPr>
        <xdr:cNvPr id="2" name="文本框 1">
          <a:extLst>
            <a:ext uri="{FF2B5EF4-FFF2-40B4-BE49-F238E27FC236}">
              <a16:creationId xmlns:a16="http://schemas.microsoft.com/office/drawing/2014/main" xmlns="" id="{00000000-0008-0000-0000-000002000000}"/>
            </a:ext>
          </a:extLst>
        </xdr:cNvPr>
        <xdr:cNvSpPr txBox="1"/>
      </xdr:nvSpPr>
      <xdr:spPr>
        <a:xfrm>
          <a:off x="12016627" y="10604126"/>
          <a:ext cx="4442573" cy="4134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tabLst/>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a:t>
          </a:r>
          <a:r>
            <a:rPr lang="zh-CN" altLang="zh-CN" sz="1100" baseline="0">
              <a:solidFill>
                <a:schemeClr val="dk1"/>
              </a:solidFill>
              <a:effectLst/>
              <a:latin typeface="+mn-lt"/>
              <a:ea typeface="+mn-ea"/>
              <a:cs typeface="+mn-cs"/>
            </a:rPr>
            <a:t>生效</a:t>
          </a:r>
          <a:endParaRPr lang="zh-CN" altLang="zh-CN">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358027</xdr:colOff>
      <xdr:row>61</xdr:row>
      <xdr:rowOff>145676</xdr:rowOff>
    </xdr:from>
    <xdr:to>
      <xdr:col>24</xdr:col>
      <xdr:colOff>0</xdr:colOff>
      <xdr:row>64</xdr:row>
      <xdr:rowOff>44823</xdr:rowOff>
    </xdr:to>
    <xdr:sp macro="" textlink="">
      <xdr:nvSpPr>
        <xdr:cNvPr id="2" name="文本框 1">
          <a:extLst>
            <a:ext uri="{FF2B5EF4-FFF2-40B4-BE49-F238E27FC236}">
              <a16:creationId xmlns:a16="http://schemas.microsoft.com/office/drawing/2014/main" xmlns="" id="{4AB321ED-44EC-4524-97AD-22E1F155438C}"/>
            </a:ext>
          </a:extLst>
        </xdr:cNvPr>
        <xdr:cNvSpPr txBox="1"/>
      </xdr:nvSpPr>
      <xdr:spPr>
        <a:xfrm>
          <a:off x="12016627" y="10604126"/>
          <a:ext cx="4442573" cy="4134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tabLst/>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a:t>
          </a:r>
          <a:r>
            <a:rPr lang="zh-CN" altLang="zh-CN" sz="1100" baseline="0">
              <a:solidFill>
                <a:schemeClr val="dk1"/>
              </a:solidFill>
              <a:effectLst/>
              <a:latin typeface="+mn-lt"/>
              <a:ea typeface="+mn-ea"/>
              <a:cs typeface="+mn-cs"/>
            </a:rPr>
            <a:t>生效</a:t>
          </a:r>
          <a:endParaRPr lang="zh-CN" altLang="zh-CN">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-1</xdr:colOff>
      <xdr:row>45</xdr:row>
      <xdr:rowOff>0</xdr:rowOff>
    </xdr:from>
    <xdr:to>
      <xdr:col>34</xdr:col>
      <xdr:colOff>561</xdr:colOff>
      <xdr:row>48</xdr:row>
      <xdr:rowOff>522193</xdr:rowOff>
    </xdr:to>
    <xdr:sp macro="" textlink="">
      <xdr:nvSpPr>
        <xdr:cNvPr id="2" name="文本框 1"/>
        <xdr:cNvSpPr txBox="1"/>
      </xdr:nvSpPr>
      <xdr:spPr>
        <a:xfrm>
          <a:off x="30174565" y="4295775"/>
          <a:ext cx="342963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29</xdr:col>
      <xdr:colOff>-1</xdr:colOff>
      <xdr:row>45</xdr:row>
      <xdr:rowOff>0</xdr:rowOff>
    </xdr:from>
    <xdr:to>
      <xdr:col>34</xdr:col>
      <xdr:colOff>561</xdr:colOff>
      <xdr:row>48</xdr:row>
      <xdr:rowOff>522193</xdr:rowOff>
    </xdr:to>
    <xdr:sp macro="" textlink="">
      <xdr:nvSpPr>
        <xdr:cNvPr id="3" name="文本框 2"/>
        <xdr:cNvSpPr txBox="1"/>
      </xdr:nvSpPr>
      <xdr:spPr>
        <a:xfrm>
          <a:off x="30174565" y="4295775"/>
          <a:ext cx="342963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-1</xdr:colOff>
      <xdr:row>62</xdr:row>
      <xdr:rowOff>0</xdr:rowOff>
    </xdr:from>
    <xdr:to>
      <xdr:col>22</xdr:col>
      <xdr:colOff>561</xdr:colOff>
      <xdr:row>65</xdr:row>
      <xdr:rowOff>522193</xdr:rowOff>
    </xdr:to>
    <xdr:sp macro="" textlink="">
      <xdr:nvSpPr>
        <xdr:cNvPr id="2" name="文本框 1"/>
        <xdr:cNvSpPr txBox="1"/>
      </xdr:nvSpPr>
      <xdr:spPr>
        <a:xfrm>
          <a:off x="17913350" y="3952875"/>
          <a:ext cx="7649210"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28</xdr:col>
      <xdr:colOff>-1</xdr:colOff>
      <xdr:row>84</xdr:row>
      <xdr:rowOff>0</xdr:rowOff>
    </xdr:from>
    <xdr:to>
      <xdr:col>33</xdr:col>
      <xdr:colOff>561</xdr:colOff>
      <xdr:row>87</xdr:row>
      <xdr:rowOff>522193</xdr:rowOff>
    </xdr:to>
    <xdr:sp macro="" textlink="">
      <xdr:nvSpPr>
        <xdr:cNvPr id="3" name="文本框 2"/>
        <xdr:cNvSpPr txBox="1"/>
      </xdr:nvSpPr>
      <xdr:spPr>
        <a:xfrm>
          <a:off x="34210625" y="8524875"/>
          <a:ext cx="744918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28</xdr:col>
      <xdr:colOff>-1</xdr:colOff>
      <xdr:row>44</xdr:row>
      <xdr:rowOff>0</xdr:rowOff>
    </xdr:from>
    <xdr:to>
      <xdr:col>33</xdr:col>
      <xdr:colOff>561</xdr:colOff>
      <xdr:row>47</xdr:row>
      <xdr:rowOff>522193</xdr:rowOff>
    </xdr:to>
    <xdr:sp macro="" textlink="">
      <xdr:nvSpPr>
        <xdr:cNvPr id="4" name="文本框 3"/>
        <xdr:cNvSpPr txBox="1"/>
      </xdr:nvSpPr>
      <xdr:spPr>
        <a:xfrm>
          <a:off x="34210625" y="3952875"/>
          <a:ext cx="744918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-1</xdr:colOff>
      <xdr:row>45</xdr:row>
      <xdr:rowOff>0</xdr:rowOff>
    </xdr:from>
    <xdr:to>
      <xdr:col>34</xdr:col>
      <xdr:colOff>561</xdr:colOff>
      <xdr:row>48</xdr:row>
      <xdr:rowOff>522193</xdr:rowOff>
    </xdr:to>
    <xdr:sp macro="" textlink="">
      <xdr:nvSpPr>
        <xdr:cNvPr id="3" name="文本框 2"/>
        <xdr:cNvSpPr txBox="1"/>
      </xdr:nvSpPr>
      <xdr:spPr>
        <a:xfrm>
          <a:off x="34756090" y="4419600"/>
          <a:ext cx="744918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29</xdr:col>
      <xdr:colOff>-1</xdr:colOff>
      <xdr:row>45</xdr:row>
      <xdr:rowOff>0</xdr:rowOff>
    </xdr:from>
    <xdr:to>
      <xdr:col>34</xdr:col>
      <xdr:colOff>561</xdr:colOff>
      <xdr:row>48</xdr:row>
      <xdr:rowOff>522193</xdr:rowOff>
    </xdr:to>
    <xdr:sp macro="" textlink="">
      <xdr:nvSpPr>
        <xdr:cNvPr id="2" name="文本框 1"/>
        <xdr:cNvSpPr txBox="1"/>
      </xdr:nvSpPr>
      <xdr:spPr>
        <a:xfrm>
          <a:off x="34756090" y="4419600"/>
          <a:ext cx="744918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-1</xdr:colOff>
      <xdr:row>23</xdr:row>
      <xdr:rowOff>0</xdr:rowOff>
    </xdr:from>
    <xdr:to>
      <xdr:col>23</xdr:col>
      <xdr:colOff>561</xdr:colOff>
      <xdr:row>26</xdr:row>
      <xdr:rowOff>522193</xdr:rowOff>
    </xdr:to>
    <xdr:sp macro="" textlink="">
      <xdr:nvSpPr>
        <xdr:cNvPr id="2" name="文本框 1"/>
        <xdr:cNvSpPr txBox="1"/>
      </xdr:nvSpPr>
      <xdr:spPr>
        <a:xfrm>
          <a:off x="27422474" y="4305300"/>
          <a:ext cx="7449112"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18</xdr:col>
      <xdr:colOff>-1</xdr:colOff>
      <xdr:row>55</xdr:row>
      <xdr:rowOff>0</xdr:rowOff>
    </xdr:from>
    <xdr:to>
      <xdr:col>23</xdr:col>
      <xdr:colOff>561</xdr:colOff>
      <xdr:row>58</xdr:row>
      <xdr:rowOff>522193</xdr:rowOff>
    </xdr:to>
    <xdr:sp macro="" textlink="">
      <xdr:nvSpPr>
        <xdr:cNvPr id="3" name="文本框 2"/>
        <xdr:cNvSpPr txBox="1"/>
      </xdr:nvSpPr>
      <xdr:spPr>
        <a:xfrm>
          <a:off x="27422474" y="4305300"/>
          <a:ext cx="7449112"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18</xdr:col>
      <xdr:colOff>-1</xdr:colOff>
      <xdr:row>56</xdr:row>
      <xdr:rowOff>0</xdr:rowOff>
    </xdr:from>
    <xdr:to>
      <xdr:col>23</xdr:col>
      <xdr:colOff>561</xdr:colOff>
      <xdr:row>59</xdr:row>
      <xdr:rowOff>522193</xdr:rowOff>
    </xdr:to>
    <xdr:sp macro="" textlink="">
      <xdr:nvSpPr>
        <xdr:cNvPr id="4" name="文本框 3"/>
        <xdr:cNvSpPr txBox="1"/>
      </xdr:nvSpPr>
      <xdr:spPr>
        <a:xfrm>
          <a:off x="27422474" y="4305300"/>
          <a:ext cx="7449112"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-1</xdr:colOff>
      <xdr:row>23</xdr:row>
      <xdr:rowOff>0</xdr:rowOff>
    </xdr:from>
    <xdr:to>
      <xdr:col>23</xdr:col>
      <xdr:colOff>561</xdr:colOff>
      <xdr:row>26</xdr:row>
      <xdr:rowOff>522193</xdr:rowOff>
    </xdr:to>
    <xdr:sp macro="" textlink="">
      <xdr:nvSpPr>
        <xdr:cNvPr id="2" name="文本框 1"/>
        <xdr:cNvSpPr txBox="1"/>
      </xdr:nvSpPr>
      <xdr:spPr>
        <a:xfrm>
          <a:off x="28632149" y="4486275"/>
          <a:ext cx="7449112" cy="7222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18</xdr:col>
      <xdr:colOff>-1</xdr:colOff>
      <xdr:row>55</xdr:row>
      <xdr:rowOff>0</xdr:rowOff>
    </xdr:from>
    <xdr:to>
      <xdr:col>23</xdr:col>
      <xdr:colOff>561</xdr:colOff>
      <xdr:row>58</xdr:row>
      <xdr:rowOff>522193</xdr:rowOff>
    </xdr:to>
    <xdr:sp macro="" textlink="">
      <xdr:nvSpPr>
        <xdr:cNvPr id="3" name="文本框 2"/>
        <xdr:cNvSpPr txBox="1"/>
      </xdr:nvSpPr>
      <xdr:spPr>
        <a:xfrm>
          <a:off x="28632149" y="20916900"/>
          <a:ext cx="7449112" cy="28939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twoCellAnchor>
    <xdr:from>
      <xdr:col>18</xdr:col>
      <xdr:colOff>-1</xdr:colOff>
      <xdr:row>55</xdr:row>
      <xdr:rowOff>0</xdr:rowOff>
    </xdr:from>
    <xdr:to>
      <xdr:col>23</xdr:col>
      <xdr:colOff>561</xdr:colOff>
      <xdr:row>58</xdr:row>
      <xdr:rowOff>522193</xdr:rowOff>
    </xdr:to>
    <xdr:sp macro="" textlink="">
      <xdr:nvSpPr>
        <xdr:cNvPr id="4" name="文本框 3"/>
        <xdr:cNvSpPr txBox="1"/>
      </xdr:nvSpPr>
      <xdr:spPr>
        <a:xfrm>
          <a:off x="28632149" y="20916900"/>
          <a:ext cx="7449112" cy="28939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zh-CN" sz="1100">
              <a:solidFill>
                <a:schemeClr val="dk1"/>
              </a:solidFill>
              <a:effectLst/>
              <a:latin typeface="+mn-lt"/>
              <a:ea typeface="+mn-ea"/>
              <a:cs typeface="+mn-cs"/>
            </a:rPr>
            <a:t>曝光时间的设置只与</a:t>
          </a:r>
          <a:r>
            <a:rPr lang="en-US" altLang="zh-CN" sz="1100">
              <a:solidFill>
                <a:schemeClr val="dk1"/>
              </a:solidFill>
              <a:effectLst/>
              <a:latin typeface="+mn-lt"/>
              <a:ea typeface="+mn-ea"/>
              <a:cs typeface="+mn-cs"/>
            </a:rPr>
            <a:t>FPGA</a:t>
          </a:r>
          <a:r>
            <a:rPr lang="zh-CN" altLang="zh-CN" sz="1100">
              <a:solidFill>
                <a:schemeClr val="dk1"/>
              </a:solidFill>
              <a:effectLst/>
              <a:latin typeface="+mn-lt"/>
              <a:ea typeface="+mn-ea"/>
              <a:cs typeface="+mn-cs"/>
            </a:rPr>
            <a:t>有关系</a:t>
          </a:r>
          <a:r>
            <a:rPr lang="zh-CN" altLang="en-US" sz="1100">
              <a:solidFill>
                <a:schemeClr val="dk1"/>
              </a:solidFill>
              <a:effectLst/>
              <a:latin typeface="+mn-lt"/>
              <a:ea typeface="+mn-ea"/>
              <a:cs typeface="+mn-cs"/>
            </a:rPr>
            <a:t>，</a:t>
          </a:r>
          <a:r>
            <a:rPr lang="en-US" altLang="zh-CN" sz="1100"/>
            <a:t>ROI</a:t>
          </a:r>
          <a:r>
            <a:rPr lang="zh-CN" altLang="en-US" sz="1100"/>
            <a:t>设置与</a:t>
          </a:r>
          <a:r>
            <a:rPr lang="en-US" altLang="zh-CN" sz="1100"/>
            <a:t>Sensor</a:t>
          </a:r>
          <a:r>
            <a:rPr lang="zh-CN" altLang="en-US" sz="1100"/>
            <a:t>和</a:t>
          </a:r>
          <a:r>
            <a:rPr lang="en-US" altLang="zh-CN" sz="1100"/>
            <a:t>FPGA</a:t>
          </a:r>
          <a:r>
            <a:rPr lang="zh-CN" altLang="en-US" sz="1100"/>
            <a:t>的寄存器都有关系</a:t>
          </a:r>
          <a:endParaRPr lang="en-US" altLang="zh-CN" sz="1100"/>
        </a:p>
        <a:p>
          <a:pPr marL="0" marR="0" indent="0" defTabSz="914400" eaLnBrk="1" fontAlgn="auto" latinLnBrk="0" hangingPunct="1">
            <a:lnSpc>
              <a:spcPct val="100000"/>
            </a:lnSpc>
            <a:spcBef>
              <a:spcPts val="0"/>
            </a:spcBef>
            <a:spcAft>
              <a:spcPts val="0"/>
            </a:spcAft>
            <a:buClrTx/>
            <a:buSzTx/>
            <a:buFontTx/>
            <a:buNone/>
            <a:defRPr/>
          </a:pPr>
          <a:r>
            <a:rPr lang="en-US" altLang="zh-CN" sz="1100">
              <a:solidFill>
                <a:schemeClr val="dk1"/>
              </a:solidFill>
              <a:effectLst/>
              <a:latin typeface="+mn-lt"/>
              <a:ea typeface="+mn-ea"/>
              <a:cs typeface="+mn-cs"/>
            </a:rPr>
            <a:t>***</a:t>
          </a:r>
          <a:r>
            <a:rPr lang="zh-CN" altLang="en-US" sz="1100">
              <a:solidFill>
                <a:schemeClr val="dk1"/>
              </a:solidFill>
              <a:effectLst/>
              <a:latin typeface="+mn-lt"/>
              <a:ea typeface="+mn-ea"/>
              <a:cs typeface="+mn-cs"/>
            </a:rPr>
            <a:t>曝光时间</a:t>
          </a:r>
          <a:r>
            <a:rPr lang="en-US" altLang="zh-CN" sz="1100">
              <a:solidFill>
                <a:schemeClr val="dk1"/>
              </a:solidFill>
              <a:effectLst/>
              <a:latin typeface="+mn-lt"/>
              <a:ea typeface="+mn-ea"/>
              <a:cs typeface="+mn-cs"/>
            </a:rPr>
            <a:t>***</a:t>
          </a:r>
          <a:endParaRPr lang="zh-CN" altLang="zh-CN">
            <a:effectLst/>
          </a:endParaRPr>
        </a:p>
        <a:p>
          <a:r>
            <a:rPr lang="en-US" altLang="zh-CN" sz="1100"/>
            <a:t>1.1 FPGA</a:t>
          </a:r>
          <a:r>
            <a:rPr lang="zh-CN" altLang="en-US" sz="1100"/>
            <a:t>中的曝光时间寄存器、曝光延迟寄存器和触发间隔寄存器与曝光时间有关</a:t>
          </a:r>
          <a:endParaRPr lang="en-US" altLang="zh-CN" sz="1100"/>
        </a:p>
        <a:p>
          <a:r>
            <a:rPr lang="en-US" altLang="zh-CN" sz="1100"/>
            <a:t>1.2</a:t>
          </a:r>
          <a:r>
            <a:rPr lang="en-US" altLang="zh-CN" sz="1100" baseline="0"/>
            <a:t> </a:t>
          </a:r>
          <a:r>
            <a:rPr lang="zh-CN" altLang="en-US" sz="1100" baseline="0"/>
            <a:t>这三组寄存器设置完之后才能设置</a:t>
          </a:r>
          <a:r>
            <a:rPr lang="en-US" altLang="zh-CN" sz="1100" baseline="0"/>
            <a:t>FPGA</a:t>
          </a:r>
          <a:r>
            <a:rPr lang="zh-CN" altLang="en-US" sz="1100" baseline="0"/>
            <a:t>的成组生效</a:t>
          </a:r>
          <a:endParaRPr lang="en-US" altLang="zh-CN" sz="1100"/>
        </a:p>
        <a:p>
          <a:endParaRPr lang="en-US" altLang="zh-CN" sz="1100"/>
        </a:p>
        <a:p>
          <a:r>
            <a:rPr lang="en-US" altLang="zh-CN" sz="1100"/>
            <a:t>***ROI***</a:t>
          </a:r>
        </a:p>
        <a:p>
          <a:r>
            <a:rPr lang="en-US" altLang="zh-CN" sz="1100">
              <a:solidFill>
                <a:sysClr val="windowText" lastClr="000000"/>
              </a:solidFill>
            </a:rPr>
            <a:t>2.1 Sensor</a:t>
          </a:r>
          <a:r>
            <a:rPr lang="zh-CN" altLang="en-US" sz="1100">
              <a:solidFill>
                <a:sysClr val="windowText" lastClr="000000"/>
              </a:solidFill>
            </a:rPr>
            <a:t>中与</a:t>
          </a:r>
          <a:r>
            <a:rPr lang="en-US" altLang="zh-CN" sz="1100">
              <a:solidFill>
                <a:sysClr val="windowText" lastClr="000000"/>
              </a:solidFill>
            </a:rPr>
            <a:t>ROI</a:t>
          </a:r>
          <a:r>
            <a:rPr lang="zh-CN" altLang="en-US" sz="1100">
              <a:solidFill>
                <a:sysClr val="windowText" lastClr="000000"/>
              </a:solidFill>
            </a:rPr>
            <a:t>相关的有</a:t>
          </a:r>
          <a:r>
            <a:rPr lang="en-US" altLang="zh-CN" sz="1100">
              <a:solidFill>
                <a:sysClr val="windowText" lastClr="000000"/>
              </a:solidFill>
            </a:rPr>
            <a:t>4</a:t>
          </a:r>
          <a:r>
            <a:rPr lang="zh-CN" altLang="en-US" sz="1100">
              <a:solidFill>
                <a:sysClr val="windowText" lastClr="000000"/>
              </a:solidFill>
            </a:rPr>
            <a:t>个寄存器，相关寄存器设置请参考</a:t>
          </a:r>
          <a:r>
            <a:rPr lang="en-US" altLang="zh-CN" sz="1100">
              <a:solidFill>
                <a:sysClr val="windowText" lastClr="000000"/>
              </a:solidFill>
            </a:rPr>
            <a:t>ROI-slave sheet</a:t>
          </a:r>
          <a:r>
            <a:rPr lang="zh-CN" altLang="en-US" sz="1100">
              <a:solidFill>
                <a:sysClr val="windowText" lastClr="000000"/>
              </a:solidFill>
            </a:rPr>
            <a:t>页</a:t>
          </a:r>
          <a:endParaRPr lang="en-US" altLang="zh-CN" sz="1100">
            <a:solidFill>
              <a:sysClr val="windowText" lastClr="000000"/>
            </a:solidFill>
          </a:endParaRPr>
        </a:p>
        <a:p>
          <a:r>
            <a:rPr lang="en-US" altLang="zh-CN" sz="1100">
              <a:solidFill>
                <a:sysClr val="windowText" lastClr="000000"/>
              </a:solidFill>
            </a:rPr>
            <a:t>2.2 ROI</a:t>
          </a:r>
          <a:r>
            <a:rPr lang="zh-CN" altLang="en-US" sz="1100">
              <a:solidFill>
                <a:sysClr val="windowText" lastClr="000000"/>
              </a:solidFill>
            </a:rPr>
            <a:t>功能可能会影响到</a:t>
          </a:r>
          <a:r>
            <a:rPr lang="en-US" altLang="zh-CN" sz="1100">
              <a:solidFill>
                <a:sysClr val="windowText" lastClr="000000"/>
              </a:solidFill>
            </a:rPr>
            <a:t>FPGA</a:t>
          </a:r>
          <a:r>
            <a:rPr lang="zh-CN" altLang="en-US" sz="1100">
              <a:solidFill>
                <a:sysClr val="windowText" lastClr="000000"/>
              </a:solidFill>
            </a:rPr>
            <a:t>的触发间隔寄存器，如果修改了</a:t>
          </a:r>
          <a:r>
            <a:rPr lang="en-US" altLang="zh-CN" sz="1100">
              <a:solidFill>
                <a:sysClr val="windowText" lastClr="000000"/>
              </a:solidFill>
            </a:rPr>
            <a:t>FPGA</a:t>
          </a:r>
          <a:r>
            <a:rPr lang="zh-CN" altLang="en-US" sz="1100">
              <a:solidFill>
                <a:sysClr val="windowText" lastClr="000000"/>
              </a:solidFill>
            </a:rPr>
            <a:t>的触发间隔寄存器，需要设置</a:t>
          </a:r>
          <a:r>
            <a:rPr lang="en-US" altLang="zh-CN" sz="1100">
              <a:solidFill>
                <a:sysClr val="windowText" lastClr="000000"/>
              </a:solidFill>
            </a:rPr>
            <a:t>FPGA</a:t>
          </a:r>
          <a:r>
            <a:rPr lang="zh-CN" altLang="en-US" sz="1100">
              <a:solidFill>
                <a:sysClr val="windowText" lastClr="000000"/>
              </a:solidFill>
            </a:rPr>
            <a:t>的成组生效</a:t>
          </a:r>
          <a:endParaRPr lang="en-US" altLang="zh-CN" sz="1100">
            <a:solidFill>
              <a:sysClr val="windowText" lastClr="0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
  <sheetViews>
    <sheetView workbookViewId="0">
      <selection activeCell="J10" sqref="J10"/>
    </sheetView>
  </sheetViews>
  <sheetFormatPr defaultColWidth="9" defaultRowHeight="13.5"/>
  <cols>
    <col min="2" max="2" width="27.5" customWidth="1"/>
    <col min="3" max="3" width="10.75" customWidth="1"/>
  </cols>
  <sheetData>
    <row r="1" spans="1:3">
      <c r="A1" s="909" t="s">
        <v>0</v>
      </c>
      <c r="B1" s="909" t="s">
        <v>1</v>
      </c>
      <c r="C1" s="909" t="s">
        <v>2</v>
      </c>
    </row>
    <row r="2" spans="1:3" ht="35.1" customHeight="1">
      <c r="A2" s="910" t="s">
        <v>3</v>
      </c>
      <c r="B2" s="910" t="s">
        <v>4</v>
      </c>
      <c r="C2" s="911">
        <v>44980</v>
      </c>
    </row>
    <row r="3" spans="1:3">
      <c r="A3" s="910" t="s">
        <v>5</v>
      </c>
      <c r="B3" s="910" t="s">
        <v>6</v>
      </c>
      <c r="C3" s="911">
        <v>45013</v>
      </c>
    </row>
    <row r="4" spans="1:3">
      <c r="A4" s="910" t="s">
        <v>7</v>
      </c>
      <c r="B4" s="910" t="s">
        <v>8</v>
      </c>
      <c r="C4" s="911">
        <v>45013</v>
      </c>
    </row>
    <row r="5" spans="1:3" ht="27">
      <c r="A5" s="910" t="s">
        <v>9</v>
      </c>
      <c r="B5" s="912" t="s">
        <v>10</v>
      </c>
      <c r="C5" s="911">
        <v>45135</v>
      </c>
    </row>
    <row r="6" spans="1:3">
      <c r="A6" s="910" t="s">
        <v>11</v>
      </c>
      <c r="B6" s="910" t="s">
        <v>12</v>
      </c>
      <c r="C6" s="911">
        <v>45162</v>
      </c>
    </row>
    <row r="7" spans="1:3" ht="27">
      <c r="A7" s="910" t="s">
        <v>13</v>
      </c>
      <c r="B7" s="913" t="s">
        <v>14</v>
      </c>
      <c r="C7" s="911">
        <v>45189</v>
      </c>
    </row>
    <row r="8" spans="1:3">
      <c r="A8" s="914" t="s">
        <v>15</v>
      </c>
      <c r="B8" s="914" t="s">
        <v>742</v>
      </c>
      <c r="C8" s="915">
        <v>45215</v>
      </c>
    </row>
    <row r="9" spans="1:3">
      <c r="A9" s="914" t="s">
        <v>743</v>
      </c>
      <c r="B9" s="914" t="s">
        <v>744</v>
      </c>
      <c r="C9" s="915">
        <v>45456</v>
      </c>
    </row>
    <row r="10" spans="1:3" ht="40.5">
      <c r="A10" s="914" t="s">
        <v>800</v>
      </c>
      <c r="B10" s="930" t="s">
        <v>801</v>
      </c>
      <c r="C10" s="915">
        <v>45577</v>
      </c>
    </row>
    <row r="11" spans="1:3" ht="27">
      <c r="A11" s="1164" t="s">
        <v>1599</v>
      </c>
      <c r="B11" s="1165" t="s">
        <v>1600</v>
      </c>
      <c r="C11" s="911">
        <v>45610</v>
      </c>
    </row>
  </sheetData>
  <phoneticPr fontId="36"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D135"/>
  <sheetViews>
    <sheetView workbookViewId="0">
      <selection activeCell="E72" sqref="E72"/>
    </sheetView>
  </sheetViews>
  <sheetFormatPr defaultColWidth="9" defaultRowHeight="30" customHeight="1"/>
  <cols>
    <col min="1" max="1" width="32" style="384" customWidth="1"/>
    <col min="2" max="2" width="16.375" style="384" customWidth="1"/>
    <col min="3" max="3" width="21.75" style="384" customWidth="1"/>
    <col min="4" max="11" width="9" style="384"/>
    <col min="12" max="12" width="28.625" style="200" customWidth="1"/>
    <col min="13" max="13" width="16" style="200" customWidth="1"/>
    <col min="14" max="14" width="14.875" style="200" customWidth="1"/>
    <col min="15" max="15" width="11.625" style="200" customWidth="1"/>
    <col min="16" max="16" width="6.75" style="200" customWidth="1"/>
    <col min="17" max="17" width="4.5" style="200" customWidth="1"/>
    <col min="18" max="18" width="17.75" style="200" customWidth="1"/>
    <col min="19" max="19" width="15.75" style="200" customWidth="1"/>
    <col min="20" max="20" width="57.375" style="200" customWidth="1"/>
    <col min="21" max="21" width="18.25" style="200" customWidth="1"/>
    <col min="22" max="23" width="4.5" style="200" customWidth="1"/>
    <col min="24" max="24" width="25.625" style="200" customWidth="1"/>
    <col min="25" max="25" width="22.875" style="200" customWidth="1"/>
    <col min="26" max="26" width="43.5" style="200" customWidth="1"/>
    <col min="27" max="27" width="10.25" style="200" customWidth="1"/>
    <col min="28" max="28" width="6.375" style="200" customWidth="1"/>
    <col min="29" max="29" width="4.875" style="200" customWidth="1"/>
    <col min="30" max="30" width="26.5" style="200" customWidth="1"/>
    <col min="31" max="31" width="13.125" style="200" customWidth="1"/>
    <col min="32" max="32" width="20.625" style="200" customWidth="1"/>
    <col min="33" max="33" width="23.375" style="200" customWidth="1"/>
    <col min="34" max="34" width="14.125" style="200" customWidth="1"/>
    <col min="35" max="35" width="18.875" style="200" customWidth="1"/>
    <col min="36" max="36" width="12" style="200" customWidth="1"/>
    <col min="37" max="37" width="14" style="200" customWidth="1"/>
    <col min="38" max="38" width="17" style="200" customWidth="1"/>
    <col min="39" max="39" width="20.375" style="200" customWidth="1"/>
    <col min="40" max="40" width="21" style="200" customWidth="1"/>
    <col min="41" max="41" width="20.25" style="200" customWidth="1"/>
    <col min="42" max="42" width="24.125" style="200" customWidth="1"/>
    <col min="43" max="43" width="11.625" style="200" customWidth="1"/>
    <col min="44" max="45" width="21.625" style="200" customWidth="1"/>
    <col min="46" max="46" width="17.25" style="200" customWidth="1"/>
    <col min="47" max="48" width="21.625" style="200" customWidth="1"/>
    <col min="49" max="49" width="19.375" style="200" customWidth="1"/>
    <col min="50" max="53" width="20.25" style="200" customWidth="1"/>
    <col min="54" max="55" width="23" style="200" customWidth="1"/>
    <col min="56" max="56" width="18.375" style="200" customWidth="1"/>
    <col min="57" max="16384" width="9" style="200"/>
  </cols>
  <sheetData>
    <row r="1" spans="1:11" ht="20.25" customHeight="1">
      <c r="A1" s="198" t="s">
        <v>605</v>
      </c>
      <c r="B1" s="199"/>
      <c r="K1" s="200"/>
    </row>
    <row r="2" spans="1:11" ht="14.25">
      <c r="A2" s="198" t="s">
        <v>17</v>
      </c>
      <c r="B2" s="198">
        <f>IF(B6=2,2656,5328)</f>
        <v>5328</v>
      </c>
      <c r="K2" s="200"/>
    </row>
    <row r="3" spans="1:11" ht="14.25">
      <c r="A3" s="198" t="s">
        <v>18</v>
      </c>
      <c r="B3" s="198">
        <v>4608</v>
      </c>
      <c r="K3" s="200"/>
    </row>
    <row r="4" spans="1:11" ht="14.25">
      <c r="A4" s="198" t="s">
        <v>19</v>
      </c>
      <c r="B4" s="199">
        <v>5328</v>
      </c>
      <c r="K4" s="200"/>
    </row>
    <row r="5" spans="1:11" ht="14.25">
      <c r="A5" s="198" t="s">
        <v>20</v>
      </c>
      <c r="B5" s="199">
        <v>4608</v>
      </c>
      <c r="K5" s="200"/>
    </row>
    <row r="6" spans="1:11" ht="14.25">
      <c r="A6" s="198" t="s">
        <v>21</v>
      </c>
      <c r="B6" s="199">
        <v>1</v>
      </c>
      <c r="K6" s="200"/>
    </row>
    <row r="7" spans="1:11" ht="14.25">
      <c r="A7" s="198" t="s">
        <v>23</v>
      </c>
      <c r="B7" s="199">
        <v>1</v>
      </c>
      <c r="K7" s="200"/>
    </row>
    <row r="8" spans="1:11" ht="14.25">
      <c r="A8" s="198" t="s">
        <v>24</v>
      </c>
      <c r="B8" s="199">
        <v>1</v>
      </c>
      <c r="K8" s="200"/>
    </row>
    <row r="9" spans="1:11" ht="14.25">
      <c r="A9" s="198" t="s">
        <v>25</v>
      </c>
      <c r="B9" s="199">
        <v>20000</v>
      </c>
      <c r="K9" s="200"/>
    </row>
    <row r="10" spans="1:11" ht="14.25">
      <c r="A10" s="198" t="s">
        <v>26</v>
      </c>
      <c r="B10" s="199">
        <v>8</v>
      </c>
      <c r="K10" s="200"/>
    </row>
    <row r="11" spans="1:11" ht="14.25">
      <c r="A11" s="198" t="s">
        <v>606</v>
      </c>
      <c r="B11" s="199" t="s">
        <v>607</v>
      </c>
      <c r="K11" s="200"/>
    </row>
    <row r="12" spans="1:11" ht="14.25">
      <c r="A12" s="198" t="s">
        <v>27</v>
      </c>
      <c r="B12" s="199">
        <v>10000</v>
      </c>
      <c r="K12" s="200"/>
    </row>
    <row r="13" spans="1:11" ht="14.25">
      <c r="A13" s="198" t="s">
        <v>28</v>
      </c>
      <c r="B13" s="199">
        <v>0</v>
      </c>
      <c r="K13" s="200"/>
    </row>
    <row r="14" spans="1:11" ht="14.25">
      <c r="A14" s="198" t="s">
        <v>29</v>
      </c>
      <c r="B14" s="199">
        <v>35</v>
      </c>
      <c r="K14" s="200"/>
    </row>
    <row r="15" spans="1:11" ht="14.25">
      <c r="A15" s="198" t="s">
        <v>30</v>
      </c>
      <c r="B15" s="199">
        <v>2</v>
      </c>
      <c r="K15" s="200"/>
    </row>
    <row r="16" spans="1:11" ht="14.25">
      <c r="A16" s="198" t="s">
        <v>31</v>
      </c>
      <c r="B16" s="198">
        <f>U52</f>
        <v>99</v>
      </c>
      <c r="K16" s="200"/>
    </row>
    <row r="17" spans="1:56" ht="14.25">
      <c r="A17" s="198" t="s">
        <v>32</v>
      </c>
      <c r="B17" s="199">
        <v>0</v>
      </c>
      <c r="K17" s="200"/>
    </row>
    <row r="18" spans="1:56" ht="14.25">
      <c r="A18" s="198" t="s">
        <v>33</v>
      </c>
      <c r="B18" s="198">
        <f>U50</f>
        <v>3235266</v>
      </c>
      <c r="K18" s="200"/>
    </row>
    <row r="19" spans="1:56" ht="16.5" customHeight="1">
      <c r="A19" s="198" t="s">
        <v>34</v>
      </c>
      <c r="B19" s="199">
        <v>1500</v>
      </c>
      <c r="K19" s="200"/>
    </row>
    <row r="20" spans="1:56" ht="15.75" customHeight="1">
      <c r="A20" s="198" t="s">
        <v>35</v>
      </c>
      <c r="B20" s="199">
        <v>0</v>
      </c>
      <c r="K20" s="200"/>
    </row>
    <row r="21" spans="1:56" ht="18" customHeight="1">
      <c r="A21" s="198" t="s">
        <v>36</v>
      </c>
      <c r="B21" s="199">
        <v>0</v>
      </c>
      <c r="K21" s="200"/>
    </row>
    <row r="22" spans="1:56" ht="16.5" customHeight="1">
      <c r="A22" s="198"/>
      <c r="B22" s="199"/>
      <c r="K22" s="200"/>
    </row>
    <row r="23" spans="1:56" ht="18.75" customHeight="1">
      <c r="A23" s="394" t="s">
        <v>37</v>
      </c>
      <c r="B23" s="395">
        <f>U30</f>
        <v>35.043453882814688</v>
      </c>
      <c r="K23" s="200"/>
    </row>
    <row r="24" spans="1:56" ht="30" hidden="1" customHeight="1">
      <c r="A24" s="200"/>
      <c r="B24" s="200"/>
      <c r="C24" s="200"/>
      <c r="D24" s="200"/>
      <c r="E24" s="200"/>
      <c r="F24" s="200"/>
      <c r="G24" s="200"/>
      <c r="H24" s="200"/>
      <c r="I24" s="200"/>
      <c r="J24" s="200"/>
      <c r="K24" s="200"/>
    </row>
    <row r="25" spans="1:56" ht="30" hidden="1" customHeight="1">
      <c r="A25" s="200"/>
      <c r="B25" s="200"/>
      <c r="C25" s="200"/>
      <c r="D25" s="200"/>
      <c r="E25" s="200"/>
      <c r="F25" s="200"/>
      <c r="G25" s="200"/>
      <c r="H25" s="200"/>
      <c r="I25" s="200"/>
      <c r="J25" s="200"/>
      <c r="K25" s="200"/>
      <c r="L25" s="201" t="s">
        <v>49</v>
      </c>
      <c r="M25" s="201" t="s">
        <v>50</v>
      </c>
      <c r="N25" s="202" t="s">
        <v>608</v>
      </c>
      <c r="O25" s="202" t="s">
        <v>609</v>
      </c>
      <c r="P25" s="203"/>
      <c r="Q25" s="203"/>
      <c r="R25" s="1202" t="s">
        <v>52</v>
      </c>
      <c r="S25" s="1203"/>
      <c r="T25" s="1203"/>
      <c r="U25" s="1203"/>
      <c r="V25" s="1204"/>
      <c r="W25" s="259"/>
      <c r="X25" s="1202" t="s">
        <v>53</v>
      </c>
      <c r="Y25" s="1203"/>
      <c r="Z25" s="1203"/>
      <c r="AA25" s="1203"/>
      <c r="AB25" s="1204"/>
      <c r="AC25" s="259"/>
      <c r="AD25" s="1205" t="s">
        <v>54</v>
      </c>
      <c r="AE25" s="1206"/>
      <c r="AF25" s="1206"/>
      <c r="AG25" s="1206"/>
      <c r="AH25" s="1206"/>
      <c r="AI25" s="1206"/>
      <c r="AJ25" s="1206"/>
      <c r="AK25" s="1206"/>
      <c r="AL25" s="1206"/>
      <c r="AM25" s="1206"/>
      <c r="AN25" s="1206"/>
      <c r="AO25" s="1206"/>
      <c r="AP25" s="1206"/>
      <c r="AQ25" s="1206"/>
      <c r="AR25" s="1206"/>
      <c r="AS25" s="1206"/>
      <c r="AT25" s="1206"/>
      <c r="AU25" s="1206"/>
      <c r="AV25" s="1206"/>
      <c r="AW25" s="1206"/>
      <c r="AX25" s="1206"/>
      <c r="AY25" s="1206"/>
      <c r="AZ25" s="1206"/>
      <c r="BA25" s="1206"/>
      <c r="BB25" s="1206"/>
      <c r="BC25" s="1206"/>
      <c r="BD25" s="1207"/>
    </row>
    <row r="26" spans="1:56" ht="30" hidden="1" customHeight="1">
      <c r="A26" s="200"/>
      <c r="B26" s="200"/>
      <c r="C26" s="200"/>
      <c r="D26" s="200"/>
      <c r="E26" s="200"/>
      <c r="F26" s="200"/>
      <c r="G26" s="200"/>
      <c r="H26" s="200"/>
      <c r="I26" s="200"/>
      <c r="J26" s="200"/>
      <c r="K26" s="200"/>
      <c r="L26" s="201" t="s">
        <v>55</v>
      </c>
      <c r="M26" s="201" t="s">
        <v>56</v>
      </c>
      <c r="N26" s="202" t="s">
        <v>100</v>
      </c>
      <c r="O26" s="202" t="str">
        <f>B11</f>
        <v>BPP8</v>
      </c>
      <c r="P26" s="203"/>
      <c r="Q26" s="203"/>
      <c r="R26" s="1208" t="s">
        <v>58</v>
      </c>
      <c r="S26" s="1209"/>
      <c r="T26" s="1209"/>
      <c r="U26" s="1209"/>
      <c r="V26" s="1210"/>
      <c r="W26" s="259"/>
      <c r="X26" s="1208" t="s">
        <v>59</v>
      </c>
      <c r="Y26" s="1209"/>
      <c r="Z26" s="1209"/>
      <c r="AA26" s="1209"/>
      <c r="AB26" s="1210"/>
      <c r="AC26" s="259"/>
      <c r="AD26" s="306" t="s">
        <v>60</v>
      </c>
      <c r="AE26" s="307" t="s">
        <v>61</v>
      </c>
      <c r="AF26" s="307" t="s">
        <v>610</v>
      </c>
      <c r="AG26" s="307" t="s">
        <v>611</v>
      </c>
      <c r="AH26" s="307" t="s">
        <v>64</v>
      </c>
      <c r="AI26" s="307" t="s">
        <v>65</v>
      </c>
      <c r="AJ26" s="307" t="s">
        <v>66</v>
      </c>
      <c r="AK26" s="307" t="s">
        <v>67</v>
      </c>
      <c r="AL26" s="307" t="s">
        <v>68</v>
      </c>
      <c r="AM26" s="307" t="s">
        <v>69</v>
      </c>
      <c r="AN26" s="307" t="s">
        <v>70</v>
      </c>
      <c r="AO26" s="307" t="s">
        <v>71</v>
      </c>
      <c r="AP26" s="307" t="s">
        <v>612</v>
      </c>
      <c r="AQ26" s="307" t="s">
        <v>613</v>
      </c>
      <c r="AR26" s="307" t="s">
        <v>614</v>
      </c>
      <c r="AS26" s="307" t="s">
        <v>615</v>
      </c>
      <c r="AT26" s="307" t="s">
        <v>616</v>
      </c>
      <c r="AU26" s="347" t="s">
        <v>617</v>
      </c>
      <c r="AV26" s="307" t="s">
        <v>618</v>
      </c>
      <c r="AW26" s="307" t="s">
        <v>619</v>
      </c>
      <c r="AX26" s="307" t="s">
        <v>620</v>
      </c>
      <c r="AY26" s="307" t="s">
        <v>621</v>
      </c>
      <c r="AZ26" s="358" t="s">
        <v>622</v>
      </c>
      <c r="BA26" s="307" t="s">
        <v>623</v>
      </c>
      <c r="BB26" s="307" t="s">
        <v>624</v>
      </c>
      <c r="BC26" s="359" t="s">
        <v>625</v>
      </c>
      <c r="BD26" s="360" t="s">
        <v>626</v>
      </c>
    </row>
    <row r="27" spans="1:56" ht="30" hidden="1" customHeight="1">
      <c r="A27" s="200"/>
      <c r="B27" s="200"/>
      <c r="C27" s="200"/>
      <c r="D27" s="200"/>
      <c r="E27" s="200"/>
      <c r="F27" s="200"/>
      <c r="G27" s="200"/>
      <c r="H27" s="200"/>
      <c r="I27" s="200"/>
      <c r="J27" s="200"/>
      <c r="K27" s="200"/>
      <c r="L27" s="1202" t="s">
        <v>90</v>
      </c>
      <c r="M27" s="1203"/>
      <c r="N27" s="1203"/>
      <c r="O27" s="1203"/>
      <c r="P27" s="1204"/>
      <c r="Q27" s="203"/>
      <c r="R27" s="260" t="s">
        <v>91</v>
      </c>
      <c r="S27" s="261" t="s">
        <v>92</v>
      </c>
      <c r="T27" s="261" t="s">
        <v>93</v>
      </c>
      <c r="U27" s="261" t="s">
        <v>94</v>
      </c>
      <c r="V27" s="262" t="s">
        <v>95</v>
      </c>
      <c r="W27" s="259"/>
      <c r="X27" s="204" t="s">
        <v>91</v>
      </c>
      <c r="Y27" s="205" t="s">
        <v>92</v>
      </c>
      <c r="Z27" s="205" t="s">
        <v>93</v>
      </c>
      <c r="AA27" s="205" t="s">
        <v>96</v>
      </c>
      <c r="AB27" s="308" t="s">
        <v>95</v>
      </c>
      <c r="AC27" s="259"/>
      <c r="AD27" s="309" t="s">
        <v>608</v>
      </c>
      <c r="AE27" s="310" t="s">
        <v>627</v>
      </c>
      <c r="AF27" s="310">
        <v>54000</v>
      </c>
      <c r="AG27" s="333">
        <v>120</v>
      </c>
      <c r="AH27" s="334">
        <v>1</v>
      </c>
      <c r="AI27" s="333">
        <v>16</v>
      </c>
      <c r="AJ27" s="334">
        <v>0</v>
      </c>
      <c r="AK27" s="334">
        <v>0</v>
      </c>
      <c r="AL27" s="310">
        <v>5328</v>
      </c>
      <c r="AM27" s="310">
        <v>8</v>
      </c>
      <c r="AN27" s="310">
        <v>5328</v>
      </c>
      <c r="AO27" s="310">
        <v>4608</v>
      </c>
      <c r="AP27" s="348">
        <f>IF((O61=1)*(O62=1),IF(O26="BPP8",326,IF(O26="BPP10",477,477)),IF(O26="BPP8",211,IF(O26="BPP10",220,304)))</f>
        <v>326</v>
      </c>
      <c r="AQ27" s="348">
        <v>118</v>
      </c>
      <c r="AR27" s="348">
        <v>34</v>
      </c>
      <c r="AS27" s="348">
        <v>2460</v>
      </c>
      <c r="AT27" s="348"/>
      <c r="AU27" s="350" t="s">
        <v>628</v>
      </c>
      <c r="AV27" s="333">
        <v>20000</v>
      </c>
      <c r="AW27" s="348">
        <v>5328</v>
      </c>
      <c r="AX27" s="348">
        <v>4608</v>
      </c>
      <c r="AY27" s="310">
        <v>35</v>
      </c>
      <c r="AZ27" s="361">
        <v>156.25</v>
      </c>
      <c r="BA27" s="310">
        <v>0</v>
      </c>
      <c r="BB27" s="310" t="s">
        <v>100</v>
      </c>
      <c r="BC27" s="400">
        <v>0</v>
      </c>
      <c r="BD27" s="363">
        <v>20</v>
      </c>
    </row>
    <row r="28" spans="1:56" ht="30" hidden="1" customHeight="1">
      <c r="A28" s="200"/>
      <c r="B28" s="200"/>
      <c r="C28" s="200"/>
      <c r="D28" s="200"/>
      <c r="E28" s="200"/>
      <c r="F28" s="200"/>
      <c r="G28" s="200"/>
      <c r="H28" s="200"/>
      <c r="I28" s="200"/>
      <c r="J28" s="200"/>
      <c r="K28" s="200"/>
      <c r="L28" s="204" t="s">
        <v>91</v>
      </c>
      <c r="M28" s="205" t="s">
        <v>92</v>
      </c>
      <c r="N28" s="205" t="s">
        <v>101</v>
      </c>
      <c r="O28" s="205" t="s">
        <v>102</v>
      </c>
      <c r="P28" s="206" t="s">
        <v>95</v>
      </c>
      <c r="Q28" s="203"/>
      <c r="R28" s="211" t="s">
        <v>103</v>
      </c>
      <c r="S28" s="212" t="s">
        <v>104</v>
      </c>
      <c r="T28" s="251" t="s">
        <v>629</v>
      </c>
      <c r="U28" s="263">
        <f>ROUNDUP(1000000*AA32/AA29,0)</f>
        <v>6038</v>
      </c>
      <c r="V28" s="211" t="s">
        <v>106</v>
      </c>
      <c r="W28" s="259"/>
      <c r="X28" s="211" t="s">
        <v>107</v>
      </c>
      <c r="Y28" s="212" t="s">
        <v>108</v>
      </c>
      <c r="Z28" s="212" t="s">
        <v>109</v>
      </c>
      <c r="AA28" s="311">
        <f>VLOOKUP($N$25,$AD$27:$BB$44,4,FALSE)</f>
        <v>120</v>
      </c>
      <c r="AB28" s="312" t="s">
        <v>110</v>
      </c>
      <c r="AC28" s="259"/>
      <c r="AD28" s="396" t="s">
        <v>630</v>
      </c>
      <c r="AE28" s="310" t="s">
        <v>631</v>
      </c>
      <c r="AF28" s="310">
        <v>54000</v>
      </c>
      <c r="AG28" s="333">
        <v>120</v>
      </c>
      <c r="AH28" s="334">
        <v>1</v>
      </c>
      <c r="AI28" s="333">
        <v>16</v>
      </c>
      <c r="AJ28" s="316">
        <v>0</v>
      </c>
      <c r="AK28" s="316">
        <v>0</v>
      </c>
      <c r="AL28" s="268">
        <v>4512</v>
      </c>
      <c r="AM28" s="268">
        <v>4512</v>
      </c>
      <c r="AN28" s="268">
        <v>4512</v>
      </c>
      <c r="AO28" s="268">
        <v>4512</v>
      </c>
      <c r="AP28" s="397">
        <f>IF((O61=1)*(O62=1),IF(O26="BPP8",273,IF(O26="BPP10",342,406)),IF(O26="BPP8",211,IF(O26="BPP10",220,304)))</f>
        <v>273</v>
      </c>
      <c r="AQ28" s="397">
        <v>124</v>
      </c>
      <c r="AR28" s="398">
        <v>41</v>
      </c>
      <c r="AS28" s="398">
        <v>2460</v>
      </c>
      <c r="AT28" s="397"/>
      <c r="AU28" s="350" t="s">
        <v>628</v>
      </c>
      <c r="AV28" s="399">
        <v>20000</v>
      </c>
      <c r="AW28" s="397">
        <v>4512</v>
      </c>
      <c r="AX28" s="397">
        <v>4512</v>
      </c>
      <c r="AY28" s="399"/>
      <c r="AZ28" s="361">
        <v>156.25</v>
      </c>
      <c r="BA28" s="399">
        <v>0</v>
      </c>
      <c r="BB28" s="310" t="s">
        <v>100</v>
      </c>
      <c r="BC28" s="401">
        <v>0</v>
      </c>
      <c r="BD28" s="402">
        <v>20</v>
      </c>
    </row>
    <row r="29" spans="1:56" ht="181.5" hidden="1" customHeight="1">
      <c r="A29" s="200"/>
      <c r="B29" s="200"/>
      <c r="C29" s="200"/>
      <c r="D29" s="200"/>
      <c r="E29" s="200"/>
      <c r="F29" s="200"/>
      <c r="G29" s="200"/>
      <c r="H29" s="200"/>
      <c r="I29" s="200"/>
      <c r="J29" s="200"/>
      <c r="K29" s="200"/>
      <c r="L29" s="1208" t="s">
        <v>113</v>
      </c>
      <c r="M29" s="1209"/>
      <c r="N29" s="1209"/>
      <c r="O29" s="1209"/>
      <c r="P29" s="1210"/>
      <c r="Q29" s="203"/>
      <c r="R29" s="264" t="s">
        <v>114</v>
      </c>
      <c r="S29" s="227" t="s">
        <v>115</v>
      </c>
      <c r="T29" s="220" t="s">
        <v>632</v>
      </c>
      <c r="U29" s="265">
        <f>IF(O33="Ultrashort",IF(O39=1,ROUNDUP(MAX(U32,U33,U34),0),ROUNDUP(MAX(U32,U33,U34,U35),0)),IF(O39=1,IF(O32="TriggerWidth",ROUNDUP(MAX(U32,U54,U34)*U28/1000,0),IF(O40=0,ROUNDUP(MAX(U32,U33,U34)*U28/1000,0),ROUNDUP(MAX(U32,U33,U34,U35)*U28/1000,0))),ROUNDUP(MAX(U32,U33,U34,U35)*U28/1000,0)))</f>
        <v>28536</v>
      </c>
      <c r="V29" s="264" t="s">
        <v>117</v>
      </c>
      <c r="X29" s="264" t="s">
        <v>633</v>
      </c>
      <c r="Y29" s="227" t="s">
        <v>634</v>
      </c>
      <c r="Z29" s="227" t="s">
        <v>635</v>
      </c>
      <c r="AA29" s="314">
        <f>VLOOKUP($N$25,$AD$27:$BD$44,3,FALSE)</f>
        <v>54000</v>
      </c>
      <c r="AB29" s="312" t="s">
        <v>636</v>
      </c>
      <c r="AD29" s="313" t="s">
        <v>637</v>
      </c>
      <c r="AE29" s="313" t="s">
        <v>638</v>
      </c>
      <c r="AF29" s="313">
        <v>54000</v>
      </c>
      <c r="AG29" s="313">
        <v>120</v>
      </c>
      <c r="AH29" s="313">
        <v>1</v>
      </c>
      <c r="AI29" s="313">
        <v>16</v>
      </c>
      <c r="AJ29" s="313">
        <v>4</v>
      </c>
      <c r="AK29" s="313">
        <v>4</v>
      </c>
      <c r="AL29" s="313">
        <v>5328</v>
      </c>
      <c r="AM29" s="313">
        <v>8</v>
      </c>
      <c r="AN29" s="313">
        <v>5328</v>
      </c>
      <c r="AO29" s="313">
        <v>3032</v>
      </c>
      <c r="AP29" s="351">
        <f>IF((O62=1)*(O63=1),IF(O27="BPP8",326,IF(O27="BPP10",477,477)),IF(O27="BPP8",211,IF(O27="BPP10",220,304)))</f>
        <v>304</v>
      </c>
      <c r="AQ29" s="352">
        <f>M101</f>
        <v>0</v>
      </c>
      <c r="AR29" s="352">
        <f>T101</f>
        <v>0</v>
      </c>
      <c r="AS29" s="353">
        <v>2460</v>
      </c>
      <c r="AT29" s="354"/>
      <c r="AU29" s="313" t="s">
        <v>628</v>
      </c>
      <c r="AV29" s="313">
        <v>10000</v>
      </c>
      <c r="AW29" s="313">
        <v>5328</v>
      </c>
      <c r="AX29" s="313">
        <v>3032</v>
      </c>
      <c r="AY29" s="313">
        <v>58</v>
      </c>
      <c r="AZ29" s="364">
        <v>156.25</v>
      </c>
      <c r="BA29" s="313">
        <v>0</v>
      </c>
      <c r="BB29" s="365" t="s">
        <v>100</v>
      </c>
      <c r="BC29" s="366">
        <v>0</v>
      </c>
      <c r="BD29" s="367">
        <v>20</v>
      </c>
    </row>
    <row r="30" spans="1:56" ht="30" hidden="1" customHeight="1">
      <c r="A30" s="200"/>
      <c r="B30" s="200"/>
      <c r="C30" s="200"/>
      <c r="D30" s="200"/>
      <c r="E30" s="200"/>
      <c r="F30" s="200"/>
      <c r="G30" s="200"/>
      <c r="H30" s="200"/>
      <c r="I30" s="200"/>
      <c r="J30" s="200"/>
      <c r="K30" s="200"/>
      <c r="L30" s="207" t="s">
        <v>121</v>
      </c>
      <c r="M30" s="208" t="s">
        <v>113</v>
      </c>
      <c r="N30" s="208">
        <v>8</v>
      </c>
      <c r="O30" s="209">
        <f>B10</f>
        <v>8</v>
      </c>
      <c r="P30" s="210" t="s">
        <v>122</v>
      </c>
      <c r="Q30" s="203"/>
      <c r="R30" s="216" t="s">
        <v>123</v>
      </c>
      <c r="S30" s="217" t="s">
        <v>58</v>
      </c>
      <c r="T30" s="225" t="s">
        <v>124</v>
      </c>
      <c r="U30" s="266">
        <f>1000000/U29</f>
        <v>35.043453882814688</v>
      </c>
      <c r="V30" s="216" t="s">
        <v>125</v>
      </c>
      <c r="X30" s="264" t="s">
        <v>639</v>
      </c>
      <c r="Y30" s="227" t="s">
        <v>640</v>
      </c>
      <c r="Z30" s="227" t="s">
        <v>109</v>
      </c>
      <c r="AA30" s="314">
        <f>VLOOKUP($N$25,$AD$27:$BD$44,7,FALSE)</f>
        <v>0</v>
      </c>
      <c r="AB30" s="317" t="s">
        <v>119</v>
      </c>
      <c r="AD30" s="318"/>
      <c r="AE30" s="319"/>
      <c r="AF30" s="319"/>
      <c r="AG30" s="319"/>
      <c r="AH30" s="335"/>
      <c r="AI30" s="335"/>
      <c r="AJ30" s="335"/>
      <c r="AK30" s="335"/>
      <c r="AL30" s="319"/>
      <c r="AM30" s="319"/>
      <c r="AN30" s="319"/>
      <c r="AO30" s="319"/>
      <c r="AP30" s="357"/>
      <c r="AQ30" s="357"/>
      <c r="AR30" s="357"/>
      <c r="AS30" s="357"/>
      <c r="AT30" s="357"/>
      <c r="AU30" s="319"/>
      <c r="AV30" s="319"/>
      <c r="AW30" s="357"/>
      <c r="AX30" s="357"/>
      <c r="AY30" s="319"/>
      <c r="AZ30" s="371"/>
      <c r="BA30" s="319"/>
      <c r="BB30" s="319"/>
      <c r="BC30" s="372"/>
      <c r="BD30" s="373"/>
    </row>
    <row r="31" spans="1:56" ht="30" hidden="1" customHeight="1">
      <c r="A31" s="200"/>
      <c r="B31" s="200"/>
      <c r="C31" s="200"/>
      <c r="D31" s="200"/>
      <c r="E31" s="200"/>
      <c r="F31" s="200"/>
      <c r="G31" s="200"/>
      <c r="H31" s="200"/>
      <c r="I31" s="200"/>
      <c r="J31" s="200"/>
      <c r="K31" s="200"/>
      <c r="L31" s="1208" t="s">
        <v>128</v>
      </c>
      <c r="M31" s="1209"/>
      <c r="N31" s="1209"/>
      <c r="O31" s="1209"/>
      <c r="P31" s="1210"/>
      <c r="Q31" s="203"/>
      <c r="R31" s="1208" t="s">
        <v>129</v>
      </c>
      <c r="S31" s="1209"/>
      <c r="T31" s="1209"/>
      <c r="U31" s="1209"/>
      <c r="V31" s="1210"/>
      <c r="X31" s="264" t="s">
        <v>641</v>
      </c>
      <c r="Y31" s="227" t="s">
        <v>640</v>
      </c>
      <c r="Z31" s="227" t="s">
        <v>109</v>
      </c>
      <c r="AA31" s="314">
        <f>VLOOKUP($N$25,$AD$27:$BD$44,8,FALSE)</f>
        <v>0</v>
      </c>
      <c r="AB31" s="317" t="s">
        <v>119</v>
      </c>
      <c r="AD31" s="259"/>
      <c r="AE31" s="259"/>
      <c r="AF31" s="259"/>
      <c r="AG31" s="259"/>
      <c r="AH31" s="259"/>
      <c r="AI31" s="259"/>
      <c r="AJ31" s="259"/>
      <c r="AK31" s="259"/>
    </row>
    <row r="32" spans="1:56" ht="75.75" hidden="1" customHeight="1">
      <c r="A32" s="200"/>
      <c r="B32" s="200"/>
      <c r="C32" s="200"/>
      <c r="D32" s="200"/>
      <c r="E32" s="200"/>
      <c r="F32" s="200"/>
      <c r="G32" s="200"/>
      <c r="H32" s="200"/>
      <c r="I32" s="200"/>
      <c r="J32" s="200"/>
      <c r="K32" s="200"/>
      <c r="L32" s="211" t="s">
        <v>132</v>
      </c>
      <c r="M32" s="212" t="s">
        <v>133</v>
      </c>
      <c r="N32" s="212" t="s">
        <v>134</v>
      </c>
      <c r="O32" s="213" t="s">
        <v>134</v>
      </c>
      <c r="P32" s="214"/>
      <c r="Q32" s="203"/>
      <c r="R32" s="211" t="s">
        <v>135</v>
      </c>
      <c r="S32" s="212" t="s">
        <v>136</v>
      </c>
      <c r="T32" s="251" t="s">
        <v>642</v>
      </c>
      <c r="U32" s="263">
        <f>IF(O33="Ultrashort",ROUNDUP((O47*O65+AA33)*U28/1000,0)+10,O47*O65+AA33)</f>
        <v>4726</v>
      </c>
      <c r="V32" s="267" t="str">
        <f>IF(O33="Ultrashort","us","line")</f>
        <v>line</v>
      </c>
      <c r="X32" s="264" t="s">
        <v>643</v>
      </c>
      <c r="Y32" s="227" t="s">
        <v>644</v>
      </c>
      <c r="Z32" s="227" t="s">
        <v>109</v>
      </c>
      <c r="AA32" s="314">
        <f>VLOOKUP($N$25,$AD$27:$BD$44,13,FALSE)</f>
        <v>326</v>
      </c>
      <c r="AB32" s="317" t="s">
        <v>119</v>
      </c>
      <c r="AD32" s="259"/>
      <c r="AE32" s="259"/>
      <c r="AF32" s="259"/>
      <c r="AG32" s="259"/>
      <c r="AH32" s="259"/>
      <c r="AI32" s="259"/>
      <c r="AJ32" s="259"/>
      <c r="AK32" s="259"/>
    </row>
    <row r="33" spans="12:37" s="200" customFormat="1" ht="84" hidden="1" customHeight="1">
      <c r="L33" s="211" t="s">
        <v>479</v>
      </c>
      <c r="M33" s="212" t="s">
        <v>480</v>
      </c>
      <c r="N33" s="212" t="s">
        <v>481</v>
      </c>
      <c r="O33" s="213" t="s">
        <v>481</v>
      </c>
      <c r="P33" s="214"/>
      <c r="Q33" s="203"/>
      <c r="R33" s="264" t="s">
        <v>142</v>
      </c>
      <c r="S33" s="227" t="s">
        <v>143</v>
      </c>
      <c r="T33" s="268" t="s">
        <v>645</v>
      </c>
      <c r="U33" s="269">
        <f>IF(O33="Ultrashort",U58,U60+IF(O51=0,0,ROUNDUP(AA38*1000/U28,0)))</f>
        <v>3346</v>
      </c>
      <c r="V33" s="267" t="str">
        <f>IF(O33="Ultrashort","us","line")</f>
        <v>line</v>
      </c>
      <c r="X33" s="264" t="s">
        <v>646</v>
      </c>
      <c r="Y33" s="227" t="s">
        <v>647</v>
      </c>
      <c r="Z33" s="227" t="s">
        <v>109</v>
      </c>
      <c r="AA33" s="314">
        <f>VLOOKUP($N$25,$AD$27:$BD$44,14,FALSE)</f>
        <v>118</v>
      </c>
      <c r="AB33" s="317" t="s">
        <v>140</v>
      </c>
      <c r="AD33" s="259"/>
      <c r="AE33" s="259"/>
      <c r="AF33" s="259"/>
      <c r="AG33" s="259"/>
      <c r="AH33" s="259"/>
      <c r="AI33" s="259"/>
      <c r="AJ33" s="259"/>
      <c r="AK33" s="259"/>
    </row>
    <row r="34" spans="12:37" s="200" customFormat="1" ht="112.5" hidden="1" customHeight="1">
      <c r="L34" s="211" t="s">
        <v>141</v>
      </c>
      <c r="M34" s="212" t="s">
        <v>128</v>
      </c>
      <c r="N34" s="212">
        <f>VLOOKUP($N$25,$AD$27:$BB$44,19,FALSE)</f>
        <v>20000</v>
      </c>
      <c r="O34" s="215">
        <f>B9</f>
        <v>20000</v>
      </c>
      <c r="P34" s="214" t="s">
        <v>117</v>
      </c>
      <c r="Q34" s="203"/>
      <c r="R34" s="264" t="s">
        <v>149</v>
      </c>
      <c r="S34" s="227" t="s">
        <v>150</v>
      </c>
      <c r="T34" s="268" t="s">
        <v>648</v>
      </c>
      <c r="U34" s="269">
        <f>IF(O33="Ultrashort",ROUNDUP(((1000000/O59))*O58,0),ROUNDUP(((1000000000/O59)/U28)*O58,0))</f>
        <v>0</v>
      </c>
      <c r="V34" s="267" t="str">
        <f>IF(O33="Ultrashort","us","line")</f>
        <v>line</v>
      </c>
      <c r="X34" s="264" t="s">
        <v>491</v>
      </c>
      <c r="Y34" s="227" t="s">
        <v>649</v>
      </c>
      <c r="Z34" s="227" t="s">
        <v>109</v>
      </c>
      <c r="AA34" s="314">
        <f>VLOOKUP($N$25,$AD$27:$BD$44,15,FALSE)</f>
        <v>34</v>
      </c>
      <c r="AB34" s="317" t="s">
        <v>140</v>
      </c>
      <c r="AD34" s="259"/>
      <c r="AE34" s="259"/>
      <c r="AF34" s="259"/>
      <c r="AG34" s="259"/>
      <c r="AH34" s="259"/>
      <c r="AI34" s="259"/>
      <c r="AJ34" s="320"/>
      <c r="AK34" s="259"/>
    </row>
    <row r="35" spans="12:37" s="200" customFormat="1" ht="60" hidden="1" customHeight="1">
      <c r="L35" s="216" t="s">
        <v>147</v>
      </c>
      <c r="M35" s="217" t="s">
        <v>148</v>
      </c>
      <c r="N35" s="212">
        <v>0</v>
      </c>
      <c r="O35" s="218">
        <f>B20</f>
        <v>0</v>
      </c>
      <c r="P35" s="219" t="s">
        <v>117</v>
      </c>
      <c r="Q35" s="203"/>
      <c r="R35" s="216" t="s">
        <v>156</v>
      </c>
      <c r="S35" s="225" t="s">
        <v>157</v>
      </c>
      <c r="T35" s="225" t="s">
        <v>158</v>
      </c>
      <c r="U35" s="270">
        <f>IF(O33="Ultrashort",AA70,ROUNDUP(AA70*1000/U28,0))</f>
        <v>3354</v>
      </c>
      <c r="V35" s="267" t="str">
        <f>IF(O33="Ultrashort","us","line")</f>
        <v>line</v>
      </c>
      <c r="X35" s="264" t="s">
        <v>650</v>
      </c>
      <c r="Y35" s="227" t="s">
        <v>651</v>
      </c>
      <c r="Z35" s="227" t="s">
        <v>109</v>
      </c>
      <c r="AA35" s="314">
        <f>VLOOKUP($N$25,$AD$27:$BD$44,16,FALSE)</f>
        <v>2460</v>
      </c>
      <c r="AB35" s="918" t="s">
        <v>106</v>
      </c>
      <c r="AD35" s="259"/>
      <c r="AE35" s="259"/>
      <c r="AF35" s="259"/>
      <c r="AG35" s="259"/>
      <c r="AH35" s="259"/>
      <c r="AI35" s="259"/>
      <c r="AJ35" s="320"/>
      <c r="AK35" s="259"/>
    </row>
    <row r="36" spans="12:37" s="200" customFormat="1" ht="87.75" hidden="1" customHeight="1">
      <c r="L36" s="220" t="s">
        <v>155</v>
      </c>
      <c r="M36" s="221" t="str">
        <f>"交叠曝光时间 
范围:0"&amp;"-"&amp;ROUNDUP(((U32-AA34)*U28/1000),0)</f>
        <v>交叠曝光时间 
范围:0-28331</v>
      </c>
      <c r="N36" s="212">
        <f>ROUNDUP((U32-AA34)*U28/1000,0)</f>
        <v>28331</v>
      </c>
      <c r="O36" s="222">
        <v>0</v>
      </c>
      <c r="P36" s="219" t="s">
        <v>117</v>
      </c>
      <c r="Q36" s="203"/>
      <c r="R36" s="1208" t="s">
        <v>164</v>
      </c>
      <c r="S36" s="1209"/>
      <c r="T36" s="1209"/>
      <c r="U36" s="1209"/>
      <c r="V36" s="1210"/>
      <c r="X36" s="264" t="s">
        <v>652</v>
      </c>
      <c r="Y36" s="227" t="s">
        <v>653</v>
      </c>
      <c r="Z36" s="217" t="s">
        <v>109</v>
      </c>
      <c r="AA36" s="314">
        <f>VLOOKUP($N$25,$AD$27:$BD$44,27,FALSE)</f>
        <v>20</v>
      </c>
      <c r="AB36" s="317" t="s">
        <v>117</v>
      </c>
      <c r="AD36" s="259"/>
      <c r="AE36" s="320"/>
      <c r="AF36" s="259"/>
      <c r="AG36" s="259"/>
      <c r="AH36" s="259"/>
      <c r="AI36" s="259"/>
      <c r="AJ36" s="320"/>
      <c r="AK36" s="259"/>
    </row>
    <row r="37" spans="12:37" s="200" customFormat="1" ht="87.75" hidden="1" customHeight="1">
      <c r="L37" s="223" t="s">
        <v>161</v>
      </c>
      <c r="M37" s="224" t="s">
        <v>162</v>
      </c>
      <c r="N37" s="225" t="s">
        <v>163</v>
      </c>
      <c r="O37" s="226">
        <v>0</v>
      </c>
      <c r="P37" s="219" t="s">
        <v>117</v>
      </c>
      <c r="Q37" s="203"/>
      <c r="R37" s="271" t="s">
        <v>654</v>
      </c>
      <c r="S37" s="272" t="s">
        <v>655</v>
      </c>
      <c r="T37" s="272" t="s">
        <v>656</v>
      </c>
      <c r="U37" s="263">
        <f>IF(O33="Ultrashort",IF(O34&gt;AA35/1000,ROUNDUP((O34*1000-AA35)/1000,0),1),MAX(ROUNDUP((O34*1000-AA35)/U28,0),1))</f>
        <v>3312</v>
      </c>
      <c r="V37" s="267" t="str">
        <f>IF(O33="Ultrashort","us","line")</f>
        <v>line</v>
      </c>
      <c r="X37" s="264" t="s">
        <v>657</v>
      </c>
      <c r="Y37" s="227"/>
      <c r="Z37" s="217" t="s">
        <v>109</v>
      </c>
      <c r="AA37" s="314">
        <f>VLOOKUP($N$25,$AD$27:$BD$44,17,FALSE)</f>
        <v>0</v>
      </c>
      <c r="AB37" s="317"/>
      <c r="AD37" s="259"/>
      <c r="AE37" s="259"/>
      <c r="AF37" s="259"/>
      <c r="AG37" s="259"/>
      <c r="AH37" s="259"/>
      <c r="AI37" s="259"/>
      <c r="AJ37" s="320"/>
      <c r="AK37" s="259"/>
    </row>
    <row r="38" spans="12:37" s="200" customFormat="1" ht="87.75" hidden="1" customHeight="1">
      <c r="L38" s="1266" t="s">
        <v>167</v>
      </c>
      <c r="M38" s="1267"/>
      <c r="N38" s="1267"/>
      <c r="O38" s="1267"/>
      <c r="P38" s="1268"/>
      <c r="Q38" s="203"/>
      <c r="R38" s="271" t="s">
        <v>658</v>
      </c>
      <c r="S38" s="272" t="s">
        <v>659</v>
      </c>
      <c r="T38" s="272" t="s">
        <v>660</v>
      </c>
      <c r="U38" s="265">
        <f>IF(AND(O34&gt;AA35/1000,O34&lt;=AA36,AND(O61=1,O62=1)),ROUNDUP((1000*O34-AA35)/1000,0),0)</f>
        <v>0</v>
      </c>
      <c r="V38" s="273" t="str">
        <f>IF(OR(O33="Ultrashort",AND(O33="Standard",O34&lt;=AA36)),"us","line")</f>
        <v>line</v>
      </c>
      <c r="X38" s="264" t="s">
        <v>176</v>
      </c>
      <c r="Y38" s="227" t="s">
        <v>177</v>
      </c>
      <c r="Z38" s="227" t="s">
        <v>109</v>
      </c>
      <c r="AA38" s="321">
        <f>VLOOKUP($N$25,$AD$27:$BD$44,26,FALSE)</f>
        <v>0</v>
      </c>
      <c r="AB38" s="317" t="s">
        <v>117</v>
      </c>
      <c r="AD38" s="259"/>
      <c r="AE38" s="259"/>
      <c r="AF38" s="259"/>
      <c r="AG38" s="259"/>
      <c r="AH38" s="259"/>
      <c r="AI38" s="259"/>
      <c r="AJ38" s="320"/>
      <c r="AK38" s="259"/>
    </row>
    <row r="39" spans="12:37" s="200" customFormat="1" ht="109.5" hidden="1" customHeight="1">
      <c r="L39" s="227" t="s">
        <v>172</v>
      </c>
      <c r="M39" s="227" t="s">
        <v>167</v>
      </c>
      <c r="N39" s="227">
        <v>0</v>
      </c>
      <c r="O39" s="228">
        <f>B21</f>
        <v>0</v>
      </c>
      <c r="P39" s="229"/>
      <c r="Q39" s="203"/>
      <c r="R39" s="274" t="s">
        <v>173</v>
      </c>
      <c r="S39" s="275" t="s">
        <v>661</v>
      </c>
      <c r="T39" s="275" t="s">
        <v>662</v>
      </c>
      <c r="U39" s="265">
        <f>IF(O33="Ultrashort",O35,ROUNDUP((O35*1000)/U28,0))</f>
        <v>0</v>
      </c>
      <c r="V39" s="267" t="str">
        <f>IF(O33="Ultrashort","us","line")</f>
        <v>line</v>
      </c>
      <c r="X39" s="276" t="s">
        <v>183</v>
      </c>
      <c r="Y39" s="323" t="s">
        <v>184</v>
      </c>
      <c r="Z39" s="323" t="s">
        <v>109</v>
      </c>
      <c r="AA39" s="314">
        <f>VLOOKUP($N$25,$AD$27:$BD$44,24,FALSE)</f>
        <v>0</v>
      </c>
      <c r="AB39" s="312" t="s">
        <v>140</v>
      </c>
      <c r="AD39" s="259"/>
      <c r="AE39" s="259"/>
      <c r="AF39" s="259"/>
      <c r="AG39" s="259"/>
      <c r="AH39" s="259"/>
      <c r="AI39" s="259"/>
      <c r="AJ39" s="320"/>
      <c r="AK39" s="259"/>
    </row>
    <row r="40" spans="12:37" s="200" customFormat="1" ht="111" hidden="1" customHeight="1">
      <c r="L40" s="207" t="s">
        <v>178</v>
      </c>
      <c r="M40" s="208" t="s">
        <v>179</v>
      </c>
      <c r="N40" s="208">
        <v>0</v>
      </c>
      <c r="O40" s="230">
        <v>0</v>
      </c>
      <c r="P40" s="210"/>
      <c r="Q40" s="203"/>
      <c r="R40" s="274" t="s">
        <v>500</v>
      </c>
      <c r="S40" s="275" t="s">
        <v>663</v>
      </c>
      <c r="T40" s="275" t="s">
        <v>664</v>
      </c>
      <c r="U40" s="277">
        <f>IF(O33="Ultrashort",200,IF((O34+4*U28/1000)&gt;100,(O34+4*U28/1000),100))</f>
        <v>20024.151999999998</v>
      </c>
      <c r="V40" s="278" t="s">
        <v>117</v>
      </c>
      <c r="X40" s="1214" t="s">
        <v>189</v>
      </c>
      <c r="Y40" s="1215"/>
      <c r="Z40" s="1215"/>
      <c r="AA40" s="1215"/>
      <c r="AB40" s="1216"/>
      <c r="AD40" s="259"/>
      <c r="AE40" s="259"/>
      <c r="AF40" s="259"/>
      <c r="AG40" s="259"/>
      <c r="AH40" s="259"/>
      <c r="AI40" s="259"/>
      <c r="AJ40" s="320"/>
      <c r="AK40" s="259"/>
    </row>
    <row r="41" spans="12:37" s="200" customFormat="1" ht="111" hidden="1" customHeight="1">
      <c r="L41" s="1214" t="s">
        <v>185</v>
      </c>
      <c r="M41" s="1215"/>
      <c r="N41" s="1215"/>
      <c r="O41" s="1215"/>
      <c r="P41" s="1216"/>
      <c r="Q41" s="203"/>
      <c r="R41" s="274" t="s">
        <v>506</v>
      </c>
      <c r="S41" s="275" t="s">
        <v>665</v>
      </c>
      <c r="T41" s="275" t="s">
        <v>666</v>
      </c>
      <c r="U41" s="277">
        <f>IF(O33="Ultrashort",ROUNDUP((O47*O65+11+AA37)*U28/1000,0),O47*O65+11+AA37)</f>
        <v>4619</v>
      </c>
      <c r="V41" s="267" t="str">
        <f>IF(O33="Ultrashort","us","line")</f>
        <v>line</v>
      </c>
      <c r="X41" s="204" t="s">
        <v>91</v>
      </c>
      <c r="Y41" s="205" t="s">
        <v>92</v>
      </c>
      <c r="Z41" s="205" t="s">
        <v>93</v>
      </c>
      <c r="AA41" s="205" t="s">
        <v>96</v>
      </c>
      <c r="AB41" s="308" t="s">
        <v>95</v>
      </c>
      <c r="AD41" s="259"/>
      <c r="AE41" s="259"/>
      <c r="AF41" s="259"/>
      <c r="AG41" s="259"/>
      <c r="AH41" s="259"/>
      <c r="AI41" s="259"/>
      <c r="AJ41" s="336"/>
      <c r="AK41" s="336"/>
    </row>
    <row r="42" spans="12:37" s="200" customFormat="1" ht="60.75" hidden="1" customHeight="1">
      <c r="L42" s="207" t="s">
        <v>190</v>
      </c>
      <c r="M42" s="208" t="s">
        <v>191</v>
      </c>
      <c r="N42" s="208">
        <v>0</v>
      </c>
      <c r="O42" s="209">
        <v>0</v>
      </c>
      <c r="P42" s="210" t="s">
        <v>117</v>
      </c>
      <c r="Q42" s="203"/>
      <c r="R42" s="1214" t="s">
        <v>192</v>
      </c>
      <c r="S42" s="1215"/>
      <c r="T42" s="1215"/>
      <c r="U42" s="1215"/>
      <c r="V42" s="1216"/>
      <c r="X42" s="211" t="s">
        <v>198</v>
      </c>
      <c r="Y42" s="212" t="s">
        <v>199</v>
      </c>
      <c r="Z42" s="212" t="s">
        <v>200</v>
      </c>
      <c r="AA42" s="311">
        <v>7</v>
      </c>
      <c r="AB42" s="312" t="s">
        <v>201</v>
      </c>
      <c r="AD42" s="259"/>
      <c r="AE42" s="259"/>
      <c r="AF42" s="259"/>
      <c r="AG42" s="259"/>
      <c r="AH42" s="259"/>
      <c r="AI42" s="259"/>
      <c r="AJ42" s="336"/>
      <c r="AK42" s="336"/>
    </row>
    <row r="43" spans="12:37" s="200" customFormat="1" ht="30" hidden="1" customHeight="1">
      <c r="L43" s="1214" t="s">
        <v>193</v>
      </c>
      <c r="M43" s="1215"/>
      <c r="N43" s="1215"/>
      <c r="O43" s="1215"/>
      <c r="P43" s="233"/>
      <c r="Q43" s="203"/>
      <c r="R43" s="250" t="s">
        <v>194</v>
      </c>
      <c r="S43" s="251" t="s">
        <v>195</v>
      </c>
      <c r="T43" s="251" t="s">
        <v>196</v>
      </c>
      <c r="U43" s="263">
        <f>U30*AA59</f>
        <v>860366694.70142972</v>
      </c>
      <c r="V43" s="279" t="s">
        <v>197</v>
      </c>
      <c r="X43" s="264" t="s">
        <v>207</v>
      </c>
      <c r="Y43" s="227" t="s">
        <v>208</v>
      </c>
      <c r="Z43" s="227" t="s">
        <v>209</v>
      </c>
      <c r="AA43" s="321">
        <v>1</v>
      </c>
      <c r="AB43" s="317" t="s">
        <v>201</v>
      </c>
      <c r="AD43" s="259"/>
      <c r="AE43" s="259"/>
      <c r="AF43" s="259"/>
      <c r="AG43" s="259"/>
      <c r="AH43" s="259"/>
      <c r="AI43" s="259"/>
      <c r="AJ43" s="336"/>
      <c r="AK43" s="336"/>
    </row>
    <row r="44" spans="12:37" s="200" customFormat="1" ht="30" hidden="1" customHeight="1">
      <c r="L44" s="211" t="s">
        <v>203</v>
      </c>
      <c r="M44" s="212" t="s">
        <v>202</v>
      </c>
      <c r="N44" s="212">
        <v>0</v>
      </c>
      <c r="O44" s="215">
        <v>0</v>
      </c>
      <c r="P44" s="234" t="s">
        <v>119</v>
      </c>
      <c r="Q44" s="203"/>
      <c r="R44" s="280" t="s">
        <v>204</v>
      </c>
      <c r="S44" s="281" t="s">
        <v>205</v>
      </c>
      <c r="T44" s="220" t="s">
        <v>206</v>
      </c>
      <c r="U44" s="265">
        <f>U30*AA66</f>
        <v>866930403.7005887</v>
      </c>
      <c r="V44" s="282" t="s">
        <v>197</v>
      </c>
      <c r="X44" s="264" t="s">
        <v>215</v>
      </c>
      <c r="Y44" s="227" t="s">
        <v>216</v>
      </c>
      <c r="Z44" s="227" t="s">
        <v>217</v>
      </c>
      <c r="AA44" s="321">
        <v>14</v>
      </c>
      <c r="AB44" s="317" t="s">
        <v>201</v>
      </c>
    </row>
    <row r="45" spans="12:37" s="200" customFormat="1" ht="30" hidden="1" customHeight="1">
      <c r="L45" s="235" t="s">
        <v>211</v>
      </c>
      <c r="M45" s="220" t="s">
        <v>210</v>
      </c>
      <c r="N45" s="220">
        <v>0</v>
      </c>
      <c r="O45" s="236">
        <v>0</v>
      </c>
      <c r="P45" s="237" t="s">
        <v>119</v>
      </c>
      <c r="Q45" s="203"/>
      <c r="R45" s="283" t="s">
        <v>212</v>
      </c>
      <c r="S45" s="284" t="s">
        <v>213</v>
      </c>
      <c r="T45" s="225" t="s">
        <v>214</v>
      </c>
      <c r="U45" s="277">
        <f>1250*O53*(100-O56)</f>
        <v>1225000000</v>
      </c>
      <c r="V45" s="285" t="s">
        <v>197</v>
      </c>
      <c r="X45" s="264" t="s">
        <v>220</v>
      </c>
      <c r="Y45" s="227" t="s">
        <v>221</v>
      </c>
      <c r="Z45" s="227" t="s">
        <v>222</v>
      </c>
      <c r="AA45" s="321">
        <v>20</v>
      </c>
      <c r="AB45" s="317" t="s">
        <v>201</v>
      </c>
      <c r="AC45" s="259"/>
    </row>
    <row r="46" spans="12:37" s="200" customFormat="1" ht="70.5" hidden="1" customHeight="1">
      <c r="L46" s="235" t="s">
        <v>19</v>
      </c>
      <c r="M46" s="220" t="s">
        <v>218</v>
      </c>
      <c r="N46" s="220">
        <f>VLOOKUP($N$25,$AD$27:$BB$44,20,FALSE)</f>
        <v>5328</v>
      </c>
      <c r="O46" s="236">
        <f>B4</f>
        <v>5328</v>
      </c>
      <c r="P46" s="237" t="s">
        <v>119</v>
      </c>
      <c r="Q46" s="203"/>
      <c r="R46" s="231" t="s">
        <v>219</v>
      </c>
      <c r="S46" s="232"/>
      <c r="T46" s="232"/>
      <c r="U46" s="232"/>
      <c r="V46" s="233"/>
      <c r="X46" s="264" t="s">
        <v>227</v>
      </c>
      <c r="Y46" s="227" t="s">
        <v>228</v>
      </c>
      <c r="Z46" s="227" t="s">
        <v>229</v>
      </c>
      <c r="AA46" s="321">
        <v>8</v>
      </c>
      <c r="AB46" s="317" t="s">
        <v>201</v>
      </c>
      <c r="AC46" s="259"/>
    </row>
    <row r="47" spans="12:37" s="200" customFormat="1" ht="45" hidden="1" customHeight="1">
      <c r="L47" s="238" t="s">
        <v>20</v>
      </c>
      <c r="M47" s="225" t="s">
        <v>223</v>
      </c>
      <c r="N47" s="225">
        <f>VLOOKUP($N$25,$AD$27:$BB$44,21,FALSE)</f>
        <v>4608</v>
      </c>
      <c r="O47" s="239">
        <f>B5</f>
        <v>4608</v>
      </c>
      <c r="P47" s="219" t="s">
        <v>119</v>
      </c>
      <c r="Q47" s="203"/>
      <c r="R47" s="286" t="s">
        <v>224</v>
      </c>
      <c r="S47" s="287" t="s">
        <v>225</v>
      </c>
      <c r="T47" s="251" t="s">
        <v>226</v>
      </c>
      <c r="U47" s="263">
        <f>IF(O53=10000,0,IF(O53=5000,1,IF(O53=2500,2,IF(O53=1000,3,3))))</f>
        <v>0</v>
      </c>
      <c r="V47" s="279" t="s">
        <v>163</v>
      </c>
      <c r="X47" s="264" t="s">
        <v>234</v>
      </c>
      <c r="Y47" s="227" t="s">
        <v>235</v>
      </c>
      <c r="Z47" s="227" t="s">
        <v>229</v>
      </c>
      <c r="AA47" s="321">
        <v>8</v>
      </c>
      <c r="AB47" s="317" t="s">
        <v>201</v>
      </c>
      <c r="AC47" s="259"/>
    </row>
    <row r="48" spans="12:37" s="200" customFormat="1" ht="45.75" hidden="1" customHeight="1">
      <c r="L48" s="1214" t="s">
        <v>230</v>
      </c>
      <c r="M48" s="1215"/>
      <c r="N48" s="1215"/>
      <c r="O48" s="1215"/>
      <c r="P48" s="1216"/>
      <c r="Q48" s="203"/>
      <c r="R48" s="288" t="s">
        <v>231</v>
      </c>
      <c r="S48" s="289" t="s">
        <v>232</v>
      </c>
      <c r="T48" s="223" t="s">
        <v>233</v>
      </c>
      <c r="U48" s="290">
        <f>ROUNDUP(O55*VLOOKUP($N$25,$AD$27:$BB$30,23,FALSE)/1000,0)</f>
        <v>0</v>
      </c>
      <c r="V48" s="291" t="s">
        <v>154</v>
      </c>
      <c r="X48" s="264" t="s">
        <v>239</v>
      </c>
      <c r="Y48" s="227" t="s">
        <v>240</v>
      </c>
      <c r="Z48" s="227" t="s">
        <v>241</v>
      </c>
      <c r="AA48" s="321">
        <v>4</v>
      </c>
      <c r="AB48" s="317" t="s">
        <v>201</v>
      </c>
    </row>
    <row r="49" spans="12:35" s="200" customFormat="1" ht="48" hidden="1" customHeight="1">
      <c r="L49" s="240" t="s">
        <v>237</v>
      </c>
      <c r="M49" s="241" t="s">
        <v>236</v>
      </c>
      <c r="N49" s="242">
        <v>0</v>
      </c>
      <c r="O49" s="243">
        <v>0</v>
      </c>
      <c r="P49" s="244" t="s">
        <v>122</v>
      </c>
      <c r="Q49" s="203"/>
      <c r="R49" s="231" t="s">
        <v>238</v>
      </c>
      <c r="S49" s="232"/>
      <c r="T49" s="232"/>
      <c r="U49" s="232"/>
      <c r="V49" s="233"/>
      <c r="X49" s="264" t="s">
        <v>246</v>
      </c>
      <c r="Y49" s="227" t="s">
        <v>247</v>
      </c>
      <c r="Z49" s="227" t="s">
        <v>248</v>
      </c>
      <c r="AA49" s="321">
        <v>12</v>
      </c>
      <c r="AB49" s="317" t="s">
        <v>201</v>
      </c>
    </row>
    <row r="50" spans="12:35" s="200" customFormat="1" ht="69.75" hidden="1" customHeight="1">
      <c r="L50" s="1214" t="s">
        <v>242</v>
      </c>
      <c r="M50" s="1215"/>
      <c r="N50" s="1215"/>
      <c r="O50" s="1215"/>
      <c r="P50" s="1216"/>
      <c r="R50" s="292" t="s">
        <v>243</v>
      </c>
      <c r="S50" s="293" t="s">
        <v>244</v>
      </c>
      <c r="T50" s="294" t="s">
        <v>245</v>
      </c>
      <c r="U50" s="295">
        <f>IF(ROUNDUP(AA73*1000*8/O53,0)&gt;200000000,200000000,ROUNDUP(AA73*1000*8/O53,0))</f>
        <v>3235266</v>
      </c>
      <c r="V50" s="296" t="s">
        <v>106</v>
      </c>
      <c r="X50" s="264" t="s">
        <v>252</v>
      </c>
      <c r="Y50" s="220" t="s">
        <v>253</v>
      </c>
      <c r="Z50" s="227" t="s">
        <v>254</v>
      </c>
      <c r="AA50" s="321">
        <f>AA45+AA46+AA47</f>
        <v>36</v>
      </c>
      <c r="AB50" s="317" t="s">
        <v>201</v>
      </c>
      <c r="AD50" s="1214" t="s">
        <v>255</v>
      </c>
      <c r="AE50" s="1215"/>
      <c r="AF50" s="1215"/>
      <c r="AG50" s="1215"/>
      <c r="AH50" s="1215"/>
      <c r="AI50" s="1217"/>
    </row>
    <row r="51" spans="12:35" s="200" customFormat="1" ht="62.25" hidden="1" customHeight="1">
      <c r="L51" s="245" t="s">
        <v>250</v>
      </c>
      <c r="M51" s="246" t="s">
        <v>249</v>
      </c>
      <c r="N51" s="247">
        <v>0</v>
      </c>
      <c r="O51" s="248">
        <v>0</v>
      </c>
      <c r="P51" s="249" t="s">
        <v>122</v>
      </c>
      <c r="R51" s="231" t="s">
        <v>251</v>
      </c>
      <c r="S51" s="232"/>
      <c r="T51" s="232"/>
      <c r="U51" s="232"/>
      <c r="V51" s="233"/>
      <c r="X51" s="264" t="s">
        <v>260</v>
      </c>
      <c r="Y51" s="220" t="s">
        <v>261</v>
      </c>
      <c r="Z51" s="227" t="s">
        <v>262</v>
      </c>
      <c r="AA51" s="321">
        <f>AA42+AA43+AA44+AA48</f>
        <v>26</v>
      </c>
      <c r="AB51" s="317" t="s">
        <v>201</v>
      </c>
      <c r="AD51" s="204" t="s">
        <v>263</v>
      </c>
      <c r="AE51" s="205" t="s">
        <v>264</v>
      </c>
      <c r="AF51" s="205" t="s">
        <v>92</v>
      </c>
      <c r="AG51" s="205" t="s">
        <v>93</v>
      </c>
      <c r="AH51" s="337" t="s">
        <v>265</v>
      </c>
      <c r="AI51" s="206" t="s">
        <v>266</v>
      </c>
    </row>
    <row r="52" spans="12:35" s="200" customFormat="1" ht="50.25" hidden="1" customHeight="1">
      <c r="L52" s="1214" t="s">
        <v>256</v>
      </c>
      <c r="M52" s="1215"/>
      <c r="N52" s="1215"/>
      <c r="O52" s="1215"/>
      <c r="P52" s="1216"/>
      <c r="R52" s="292" t="s">
        <v>257</v>
      </c>
      <c r="S52" s="293" t="s">
        <v>251</v>
      </c>
      <c r="T52" s="294" t="s">
        <v>258</v>
      </c>
      <c r="U52" s="295">
        <f>IF((100-ROUNDDOWN(10*AA68/(125000*O53),0)-1)&lt;0,0,(100-ROUNDDOWN(10*AA68/(125000*O53),0)-1))</f>
        <v>99</v>
      </c>
      <c r="V52" s="296" t="s">
        <v>259</v>
      </c>
      <c r="X52" s="216" t="s">
        <v>271</v>
      </c>
      <c r="Y52" s="217" t="s">
        <v>272</v>
      </c>
      <c r="Z52" s="217" t="s">
        <v>273</v>
      </c>
      <c r="AA52" s="270">
        <f>64-AA44-AA48-AA50</f>
        <v>10</v>
      </c>
      <c r="AB52" s="324" t="s">
        <v>201</v>
      </c>
      <c r="AD52" s="325" t="s">
        <v>667</v>
      </c>
      <c r="AE52" s="251" t="s">
        <v>668</v>
      </c>
      <c r="AF52" s="326" t="s">
        <v>669</v>
      </c>
      <c r="AG52" s="212" t="s">
        <v>543</v>
      </c>
      <c r="AH52" s="338" t="str">
        <f>"0x"&amp;DEC2HEX(U32)</f>
        <v>0x1276</v>
      </c>
      <c r="AI52" s="339"/>
    </row>
    <row r="53" spans="12:35" s="200" customFormat="1" ht="156" hidden="1" customHeight="1">
      <c r="L53" s="250" t="s">
        <v>268</v>
      </c>
      <c r="M53" s="251" t="s">
        <v>267</v>
      </c>
      <c r="N53" s="252" t="s">
        <v>122</v>
      </c>
      <c r="O53" s="253">
        <v>10000</v>
      </c>
      <c r="P53" s="214" t="s">
        <v>269</v>
      </c>
      <c r="R53" s="231" t="s">
        <v>270</v>
      </c>
      <c r="S53" s="232"/>
      <c r="T53" s="232"/>
      <c r="U53" s="232"/>
      <c r="V53" s="233"/>
      <c r="X53" s="1214" t="s">
        <v>280</v>
      </c>
      <c r="Y53" s="1215"/>
      <c r="Z53" s="1215"/>
      <c r="AA53" s="1215"/>
      <c r="AB53" s="1216"/>
      <c r="AD53" s="327" t="s">
        <v>522</v>
      </c>
      <c r="AE53" s="251" t="s">
        <v>670</v>
      </c>
      <c r="AF53" s="328" t="s">
        <v>524</v>
      </c>
      <c r="AG53" s="227" t="s">
        <v>525</v>
      </c>
      <c r="AH53" s="340" t="str">
        <f>"0x"&amp;DEC2HEX(IF(O33="Ultrashort",54,AA32))</f>
        <v>0x146</v>
      </c>
      <c r="AI53" s="341" t="s">
        <v>671</v>
      </c>
    </row>
    <row r="54" spans="12:35" s="200" customFormat="1" ht="84.75" hidden="1" customHeight="1">
      <c r="L54" s="235" t="s">
        <v>34</v>
      </c>
      <c r="M54" s="220" t="s">
        <v>276</v>
      </c>
      <c r="N54" s="254">
        <v>1500</v>
      </c>
      <c r="O54" s="236">
        <v>8164</v>
      </c>
      <c r="P54" s="237" t="s">
        <v>201</v>
      </c>
      <c r="R54" s="286" t="s">
        <v>277</v>
      </c>
      <c r="S54" s="287" t="s">
        <v>278</v>
      </c>
      <c r="T54" s="251" t="s">
        <v>672</v>
      </c>
      <c r="U54" s="297" t="str">
        <f>IF((O39=1)*(O32="TriggerWidth"),U32+IF(ROUNDUP((1000*O37/U28),0)&gt;U56,ROUNDUP((1000*O37/U28),0)-U56,0),"null")</f>
        <v>null</v>
      </c>
      <c r="V54" s="298" t="s">
        <v>140</v>
      </c>
      <c r="X54" s="204" t="s">
        <v>91</v>
      </c>
      <c r="Y54" s="205" t="s">
        <v>92</v>
      </c>
      <c r="Z54" s="205" t="s">
        <v>93</v>
      </c>
      <c r="AA54" s="205" t="s">
        <v>96</v>
      </c>
      <c r="AB54" s="308" t="s">
        <v>95</v>
      </c>
      <c r="AD54" s="327" t="s">
        <v>673</v>
      </c>
      <c r="AE54" s="251" t="s">
        <v>674</v>
      </c>
      <c r="AF54" s="328" t="s">
        <v>675</v>
      </c>
      <c r="AG54" s="227" t="s">
        <v>533</v>
      </c>
      <c r="AH54" s="340" t="str">
        <f>"0X"&amp;DEC2HEX(U39)</f>
        <v>0X0</v>
      </c>
      <c r="AI54" s="341"/>
    </row>
    <row r="55" spans="12:35" s="200" customFormat="1" ht="57" hidden="1" customHeight="1">
      <c r="L55" s="255" t="s">
        <v>32</v>
      </c>
      <c r="M55" s="220" t="str">
        <f>"流通道包间隔 
范围:0"&amp;"-"&amp;U50</f>
        <v>流通道包间隔 
范围:0-3235266</v>
      </c>
      <c r="N55" s="254">
        <v>0</v>
      </c>
      <c r="O55" s="236">
        <f>B17</f>
        <v>0</v>
      </c>
      <c r="P55" s="237" t="s">
        <v>106</v>
      </c>
      <c r="R55" s="288" t="s">
        <v>283</v>
      </c>
      <c r="S55" s="289" t="s">
        <v>284</v>
      </c>
      <c r="T55" s="223" t="s">
        <v>676</v>
      </c>
      <c r="U55" s="299" t="str">
        <f>IF((O39=1)*(O32="TriggerWidth"),IF(O37&gt;O36,(ROUNDUP((1000*O37/U28),0)*U28+AA35)/1000,(ROUNDUP((1000*O36/U28),0)*U28+AA35)/1000),"null")</f>
        <v>null</v>
      </c>
      <c r="V55" s="291" t="s">
        <v>117</v>
      </c>
      <c r="X55" s="211" t="s">
        <v>288</v>
      </c>
      <c r="Y55" s="251" t="s">
        <v>289</v>
      </c>
      <c r="Z55" s="212" t="s">
        <v>290</v>
      </c>
      <c r="AA55" s="311">
        <f>36</f>
        <v>36</v>
      </c>
      <c r="AB55" s="312" t="s">
        <v>201</v>
      </c>
      <c r="AD55" s="327" t="s">
        <v>677</v>
      </c>
      <c r="AE55" s="251" t="s">
        <v>678</v>
      </c>
      <c r="AF55" s="328" t="s">
        <v>679</v>
      </c>
      <c r="AG55" s="227" t="s">
        <v>680</v>
      </c>
      <c r="AH55" s="340" t="str">
        <f>"0x"&amp;DEC2HEX(U56)</f>
        <v>0x1</v>
      </c>
      <c r="AI55" s="341"/>
    </row>
    <row r="56" spans="12:35" s="200" customFormat="1" ht="75.75" hidden="1" customHeight="1">
      <c r="L56" s="256" t="s">
        <v>30</v>
      </c>
      <c r="M56" s="223" t="str">
        <f>"预留带宽 
范围:0-"&amp;U52</f>
        <v>预留带宽 
范围:0-99</v>
      </c>
      <c r="N56" s="257">
        <v>10</v>
      </c>
      <c r="O56" s="239">
        <f>B15</f>
        <v>2</v>
      </c>
      <c r="P56" s="219" t="s">
        <v>259</v>
      </c>
      <c r="R56" s="288" t="s">
        <v>681</v>
      </c>
      <c r="S56" s="289" t="s">
        <v>559</v>
      </c>
      <c r="T56" s="223" t="s">
        <v>560</v>
      </c>
      <c r="U56" s="299">
        <f>MAX(INT(O36*1000/U28),1)</f>
        <v>1</v>
      </c>
      <c r="V56" s="300" t="s">
        <v>140</v>
      </c>
      <c r="X56" s="264" t="s">
        <v>294</v>
      </c>
      <c r="Y56" s="220" t="s">
        <v>295</v>
      </c>
      <c r="Z56" s="227" t="s">
        <v>296</v>
      </c>
      <c r="AA56" s="321">
        <v>10</v>
      </c>
      <c r="AB56" s="317" t="s">
        <v>201</v>
      </c>
      <c r="AD56" s="327" t="s">
        <v>682</v>
      </c>
      <c r="AE56" s="251" t="s">
        <v>683</v>
      </c>
      <c r="AF56" s="328" t="s">
        <v>684</v>
      </c>
      <c r="AG56" s="220" t="s">
        <v>685</v>
      </c>
      <c r="AH56" s="340" t="str">
        <f>"0x"&amp;DEC2HEX(IF(O34&lt;=AA35/1000,1,U37))</f>
        <v>0xCF0</v>
      </c>
      <c r="AI56" s="341"/>
    </row>
    <row r="57" spans="12:35" s="200" customFormat="1" ht="50.1" hidden="1" customHeight="1">
      <c r="L57" s="1214" t="s">
        <v>293</v>
      </c>
      <c r="M57" s="1215"/>
      <c r="N57" s="1215"/>
      <c r="O57" s="1215"/>
      <c r="P57" s="1216"/>
      <c r="R57" s="301" t="s">
        <v>686</v>
      </c>
      <c r="S57" s="302"/>
      <c r="T57" s="303" t="s">
        <v>686</v>
      </c>
      <c r="U57" s="303"/>
      <c r="V57" s="304"/>
      <c r="X57" s="305" t="s">
        <v>301</v>
      </c>
      <c r="Y57" s="329" t="s">
        <v>302</v>
      </c>
      <c r="Z57" s="329" t="s">
        <v>303</v>
      </c>
      <c r="AA57" s="265">
        <v>60</v>
      </c>
      <c r="AB57" s="282" t="s">
        <v>201</v>
      </c>
      <c r="AD57" s="327" t="s">
        <v>687</v>
      </c>
      <c r="AE57" s="251" t="s">
        <v>688</v>
      </c>
      <c r="AF57" s="328" t="s">
        <v>689</v>
      </c>
      <c r="AG57" s="227" t="s">
        <v>548</v>
      </c>
      <c r="AH57" s="340" t="str">
        <f>IF(O34&gt;AA36,"0x"&amp;DEC2HEX(MAX(U32,U33,U34,U35)),"0x"&amp;DEC2HEX(MAX(U32,U33+1,U34,U35)))</f>
        <v>0x1276</v>
      </c>
      <c r="AI57" s="341"/>
    </row>
    <row r="58" spans="12:35" s="200" customFormat="1" ht="75" hidden="1" customHeight="1">
      <c r="L58" s="211" t="s">
        <v>300</v>
      </c>
      <c r="M58" s="212" t="s">
        <v>299</v>
      </c>
      <c r="N58" s="212">
        <v>0</v>
      </c>
      <c r="O58" s="215">
        <f>B13</f>
        <v>0</v>
      </c>
      <c r="P58" s="234" t="s">
        <v>122</v>
      </c>
      <c r="R58" s="275" t="s">
        <v>584</v>
      </c>
      <c r="S58" s="275" t="s">
        <v>585</v>
      </c>
      <c r="T58" s="275" t="s">
        <v>690</v>
      </c>
      <c r="U58" s="275" t="str">
        <f>IF(O33="Standard","null",U32+U39+U37+ROUNDUP(AA35/1000,0))</f>
        <v>null</v>
      </c>
      <c r="V58" s="275" t="s">
        <v>117</v>
      </c>
      <c r="X58" s="235" t="s">
        <v>307</v>
      </c>
      <c r="Y58" s="220" t="s">
        <v>308</v>
      </c>
      <c r="Z58" s="220" t="s">
        <v>309</v>
      </c>
      <c r="AA58" s="265">
        <f>O46*O47*IF(O30=8,1,2)</f>
        <v>24551424</v>
      </c>
      <c r="AB58" s="317" t="s">
        <v>201</v>
      </c>
      <c r="AD58" s="330" t="s">
        <v>691</v>
      </c>
      <c r="AE58" s="251" t="s">
        <v>692</v>
      </c>
      <c r="AF58" s="328" t="s">
        <v>693</v>
      </c>
      <c r="AG58" s="227" t="s">
        <v>548</v>
      </c>
      <c r="AH58" s="342" t="str">
        <f>"0x"&amp;IF(O39=0,DEC2HEX(MAX(U32,U33,U35)),DEC2HEX(MAX(U32,U33)))</f>
        <v>0x1276</v>
      </c>
      <c r="AI58" s="341"/>
    </row>
    <row r="59" spans="12:35" s="200" customFormat="1" ht="43.5" hidden="1" customHeight="1">
      <c r="L59" s="216" t="s">
        <v>306</v>
      </c>
      <c r="M59" s="217" t="s">
        <v>293</v>
      </c>
      <c r="N59" s="217">
        <f>VLOOKUP($N$25,$AD$27:$BB$44,22,FALSE)</f>
        <v>35</v>
      </c>
      <c r="O59" s="218">
        <f>B14</f>
        <v>35</v>
      </c>
      <c r="P59" s="258" t="s">
        <v>125</v>
      </c>
      <c r="R59" s="301" t="s">
        <v>694</v>
      </c>
      <c r="S59" s="302"/>
      <c r="T59" s="303" t="s">
        <v>694</v>
      </c>
      <c r="U59" s="303"/>
      <c r="V59" s="304"/>
      <c r="X59" s="264" t="s">
        <v>314</v>
      </c>
      <c r="Y59" s="220" t="s">
        <v>315</v>
      </c>
      <c r="Z59" s="220" t="s">
        <v>316</v>
      </c>
      <c r="AA59" s="321">
        <f>AA58+AA57*O49</f>
        <v>24551424</v>
      </c>
      <c r="AB59" s="317" t="s">
        <v>201</v>
      </c>
      <c r="AD59" s="330" t="s">
        <v>695</v>
      </c>
      <c r="AE59" s="251" t="s">
        <v>696</v>
      </c>
      <c r="AF59" s="328" t="s">
        <v>697</v>
      </c>
      <c r="AG59" s="227" t="s">
        <v>548</v>
      </c>
      <c r="AH59" s="342" t="str">
        <f>"0x"&amp;IF(O32="TriggerWidth",DEC2HEX(MAX(U32,U34)),IF(O40=0,DEC2HEX(MAX(U32,U33,IF(O51=1,0,U34))),DEC2HEX(MAX(U32,U33,IF(O51=1,0,U34),U35))))</f>
        <v>0x1276</v>
      </c>
      <c r="AI59" s="341"/>
    </row>
    <row r="60" spans="12:35" s="200" customFormat="1" ht="60" hidden="1" customHeight="1">
      <c r="L60" s="1214" t="s">
        <v>698</v>
      </c>
      <c r="M60" s="1215"/>
      <c r="N60" s="1215"/>
      <c r="O60" s="1215"/>
      <c r="P60" s="1216"/>
      <c r="R60" s="272" t="s">
        <v>587</v>
      </c>
      <c r="S60" s="272" t="s">
        <v>588</v>
      </c>
      <c r="T60" s="272" t="s">
        <v>699</v>
      </c>
      <c r="U60" s="272">
        <f>IF(OR(O34&gt;AA36,O61=2,O62=2),U37+IF(O51=1,0,U39)+AA34,U32+U37+IF(O51=1,0,U39)+2)</f>
        <v>3346</v>
      </c>
      <c r="V60" s="272" t="s">
        <v>140</v>
      </c>
      <c r="X60" s="264" t="s">
        <v>322</v>
      </c>
      <c r="Y60" s="220" t="s">
        <v>323</v>
      </c>
      <c r="Z60" s="227" t="s">
        <v>324</v>
      </c>
      <c r="AA60" s="331">
        <f>INT(AA59/(O54-AA50))</f>
        <v>3020</v>
      </c>
      <c r="AB60" s="317" t="s">
        <v>421</v>
      </c>
      <c r="AD60" s="330" t="s">
        <v>700</v>
      </c>
      <c r="AE60" s="251" t="s">
        <v>701</v>
      </c>
      <c r="AF60" s="328" t="s">
        <v>702</v>
      </c>
      <c r="AG60" s="220" t="s">
        <v>548</v>
      </c>
      <c r="AH60" s="340" t="str">
        <f>"0x"&amp;IF((O39=1)*(O32="TriggerWidth"),1,0)</f>
        <v>0x0</v>
      </c>
      <c r="AI60" s="341"/>
    </row>
    <row r="61" spans="12:35" s="200" customFormat="1" ht="126.75" hidden="1" customHeight="1">
      <c r="L61" s="211" t="s">
        <v>321</v>
      </c>
      <c r="M61" s="212" t="s">
        <v>320</v>
      </c>
      <c r="N61" s="212">
        <v>1</v>
      </c>
      <c r="O61" s="215">
        <f>B7</f>
        <v>1</v>
      </c>
      <c r="P61" s="234" t="s">
        <v>122</v>
      </c>
      <c r="X61" s="264" t="s">
        <v>330</v>
      </c>
      <c r="Y61" s="220" t="s">
        <v>331</v>
      </c>
      <c r="Z61" s="227" t="s">
        <v>332</v>
      </c>
      <c r="AA61" s="331">
        <f>AA59-(O54-AA50)*AA60</f>
        <v>4864</v>
      </c>
      <c r="AB61" s="317" t="s">
        <v>201</v>
      </c>
      <c r="AD61" s="330" t="s">
        <v>325</v>
      </c>
      <c r="AE61" s="220" t="s">
        <v>703</v>
      </c>
      <c r="AF61" s="220" t="s">
        <v>704</v>
      </c>
      <c r="AG61" s="220" t="s">
        <v>705</v>
      </c>
      <c r="AH61" s="342" t="str">
        <f>"0x"&amp;DEC2HEX(AA32/37.5*VLOOKUP($N$25,$AD$27:$AX$44,4,FALSE)-(VLOOKUP($N$25,$AD$27:$AX$44,9,FALSE)/VLOOKUP($N$25,$AD$27:$AX$44,5,FALSE)/VLOOKUP($N$25,$AD$27:$AX$44,6,FALSE)))</f>
        <v>0x2C6</v>
      </c>
      <c r="AI61" s="343"/>
    </row>
    <row r="62" spans="12:35" s="200" customFormat="1" ht="30" hidden="1" customHeight="1">
      <c r="L62" s="216" t="s">
        <v>329</v>
      </c>
      <c r="M62" s="217" t="s">
        <v>328</v>
      </c>
      <c r="N62" s="217">
        <v>1</v>
      </c>
      <c r="O62" s="218">
        <f>B8</f>
        <v>1</v>
      </c>
      <c r="P62" s="258" t="s">
        <v>122</v>
      </c>
      <c r="X62" s="264" t="s">
        <v>339</v>
      </c>
      <c r="Y62" s="220" t="s">
        <v>340</v>
      </c>
      <c r="Z62" s="227" t="s">
        <v>341</v>
      </c>
      <c r="AA62" s="321">
        <f>IF(MOD(AA58,(O54-AA50))=0,0,1)</f>
        <v>1</v>
      </c>
      <c r="AB62" s="317" t="s">
        <v>421</v>
      </c>
      <c r="AD62" s="330" t="s">
        <v>317</v>
      </c>
      <c r="AE62" s="220" t="str">
        <f>IF(OR(N28="A7",N28="KU3P"),"0x01100000","0x77601500")</f>
        <v>0x77601500</v>
      </c>
      <c r="AF62" s="328" t="s">
        <v>318</v>
      </c>
      <c r="AG62" s="220" t="s">
        <v>122</v>
      </c>
      <c r="AH62" s="340" t="s">
        <v>319</v>
      </c>
      <c r="AI62" s="344"/>
    </row>
    <row r="63" spans="12:35" s="200" customFormat="1" ht="119.25" hidden="1" customHeight="1">
      <c r="L63" s="1214" t="s">
        <v>706</v>
      </c>
      <c r="M63" s="1215"/>
      <c r="N63" s="1215"/>
      <c r="O63" s="1215"/>
      <c r="P63" s="1216"/>
      <c r="R63" s="200" t="s">
        <v>414</v>
      </c>
      <c r="S63" s="200">
        <f>N46*8*IF(O30=8,1,2)/U28/(IF(O61=2,2,1))</f>
        <v>7.0592911560119243</v>
      </c>
      <c r="X63" s="264" t="s">
        <v>349</v>
      </c>
      <c r="Y63" s="220" t="s">
        <v>350</v>
      </c>
      <c r="Z63" s="227" t="s">
        <v>351</v>
      </c>
      <c r="AA63" s="331">
        <f>IF(AA61&lt;AA52,AA52,AA61)</f>
        <v>4864</v>
      </c>
      <c r="AB63" s="317" t="s">
        <v>201</v>
      </c>
      <c r="AD63" s="332" t="s">
        <v>333</v>
      </c>
      <c r="AE63" s="225" t="s">
        <v>335</v>
      </c>
      <c r="AF63" s="225" t="s">
        <v>334</v>
      </c>
      <c r="AG63" s="225" t="s">
        <v>336</v>
      </c>
      <c r="AH63" s="345" t="str">
        <f>"0x"&amp;DEC2HEX(O54-AA50)</f>
        <v>0x1FC0</v>
      </c>
      <c r="AI63" s="346" t="s">
        <v>337</v>
      </c>
    </row>
    <row r="64" spans="12:35" s="200" customFormat="1" ht="55.5" hidden="1" customHeight="1">
      <c r="L64" s="211" t="s">
        <v>348</v>
      </c>
      <c r="M64" s="212" t="s">
        <v>347</v>
      </c>
      <c r="N64" s="212">
        <v>1</v>
      </c>
      <c r="O64" s="215">
        <f>B6</f>
        <v>1</v>
      </c>
      <c r="P64" s="234" t="s">
        <v>122</v>
      </c>
      <c r="R64" s="200" t="s">
        <v>707</v>
      </c>
      <c r="S64" s="200">
        <f>U44*8/1000/1000/1000</f>
        <v>6.9354432296047097</v>
      </c>
      <c r="X64" s="264" t="s">
        <v>358</v>
      </c>
      <c r="Y64" s="220" t="s">
        <v>359</v>
      </c>
      <c r="Z64" s="227" t="s">
        <v>360</v>
      </c>
      <c r="AA64" s="331">
        <f>AA51+AA50+AA55</f>
        <v>98</v>
      </c>
      <c r="AB64" s="317" t="s">
        <v>201</v>
      </c>
      <c r="AD64" s="330" t="s">
        <v>342</v>
      </c>
      <c r="AE64" s="220" t="s">
        <v>344</v>
      </c>
      <c r="AF64" s="220" t="s">
        <v>343</v>
      </c>
      <c r="AG64" s="220" t="s">
        <v>345</v>
      </c>
      <c r="AH64" s="220" t="str">
        <f>"0x"&amp;DEC2HEX(U48)</f>
        <v>0x0</v>
      </c>
      <c r="AI64" s="1269" t="s">
        <v>346</v>
      </c>
    </row>
    <row r="65" spans="12:35" s="200" customFormat="1" ht="86.25" hidden="1" customHeight="1">
      <c r="L65" s="216" t="s">
        <v>357</v>
      </c>
      <c r="M65" s="217" t="s">
        <v>356</v>
      </c>
      <c r="N65" s="217">
        <v>1</v>
      </c>
      <c r="O65" s="218">
        <v>1</v>
      </c>
      <c r="P65" s="258" t="s">
        <v>122</v>
      </c>
      <c r="R65" s="259" t="s">
        <v>415</v>
      </c>
      <c r="S65" s="259">
        <f>T65-S64</f>
        <v>12.008556770395289</v>
      </c>
      <c r="T65" s="200">
        <f>25.6*0.74</f>
        <v>18.943999999999999</v>
      </c>
      <c r="X65" s="264" t="s">
        <v>366</v>
      </c>
      <c r="Y65" s="220" t="s">
        <v>367</v>
      </c>
      <c r="Z65" s="227" t="s">
        <v>368</v>
      </c>
      <c r="AA65" s="331">
        <f>AA51+AA50+AA56</f>
        <v>72</v>
      </c>
      <c r="AB65" s="317" t="s">
        <v>201</v>
      </c>
      <c r="AD65" s="386" t="s">
        <v>352</v>
      </c>
      <c r="AE65" s="223" t="s">
        <v>354</v>
      </c>
      <c r="AF65" s="223" t="s">
        <v>353</v>
      </c>
      <c r="AG65" s="223" t="s">
        <v>355</v>
      </c>
      <c r="AH65" s="223" t="str">
        <f>"0x"&amp;DEC2HEX(U47)</f>
        <v>0x0</v>
      </c>
      <c r="AI65" s="1270"/>
    </row>
    <row r="66" spans="12:35" s="200" customFormat="1" ht="52.5" hidden="1" customHeight="1">
      <c r="L66" s="1273" t="s">
        <v>365</v>
      </c>
      <c r="M66" s="1274"/>
      <c r="N66" s="1274"/>
      <c r="O66" s="1274"/>
      <c r="P66" s="1275"/>
      <c r="R66" s="259" t="s">
        <v>417</v>
      </c>
      <c r="S66" s="320">
        <f>S65-S63</f>
        <v>4.9492656143833651</v>
      </c>
      <c r="T66" s="259" t="s">
        <v>418</v>
      </c>
      <c r="X66" s="264" t="s">
        <v>374</v>
      </c>
      <c r="Y66" s="220" t="s">
        <v>375</v>
      </c>
      <c r="Z66" s="227" t="s">
        <v>376</v>
      </c>
      <c r="AA66" s="331">
        <f>AA60*(O54+AA51)+AA62*(AA63+AA51+AA50)</f>
        <v>24738726</v>
      </c>
      <c r="AB66" s="317" t="s">
        <v>201</v>
      </c>
      <c r="AD66" s="387" t="s">
        <v>708</v>
      </c>
      <c r="AE66" s="388" t="s">
        <v>709</v>
      </c>
      <c r="AF66" s="389" t="s">
        <v>710</v>
      </c>
      <c r="AG66" s="392" t="s">
        <v>711</v>
      </c>
      <c r="AH66" s="393" t="str">
        <f>"0x"&amp;DEC2HEX(U38)</f>
        <v>0x0</v>
      </c>
      <c r="AI66" s="341"/>
    </row>
    <row r="67" spans="12:35" s="200" customFormat="1" ht="66.75" hidden="1" customHeight="1">
      <c r="L67" s="374" t="s">
        <v>58</v>
      </c>
      <c r="M67" s="375" t="s">
        <v>373</v>
      </c>
      <c r="N67" s="375"/>
      <c r="O67" s="376">
        <f>U30</f>
        <v>35.043453882814688</v>
      </c>
      <c r="P67" s="377"/>
      <c r="R67" s="259" t="s">
        <v>419</v>
      </c>
      <c r="S67" s="259">
        <f>S63-S64</f>
        <v>0.12384792640721454</v>
      </c>
      <c r="T67" s="259" t="s">
        <v>420</v>
      </c>
      <c r="X67" s="235" t="s">
        <v>377</v>
      </c>
      <c r="Y67" s="220" t="s">
        <v>378</v>
      </c>
      <c r="Z67" s="220" t="s">
        <v>379</v>
      </c>
      <c r="AA67" s="390">
        <f>(2+AA62+AA60)*AA72</f>
        <v>60460</v>
      </c>
      <c r="AB67" s="282" t="s">
        <v>201</v>
      </c>
    </row>
    <row r="68" spans="12:35" s="200" customFormat="1" ht="45" hidden="1" customHeight="1">
      <c r="R68" s="259"/>
      <c r="S68" s="259"/>
      <c r="T68" s="259"/>
      <c r="X68" s="235" t="s">
        <v>380</v>
      </c>
      <c r="Y68" s="220" t="s">
        <v>381</v>
      </c>
      <c r="Z68" s="220" t="s">
        <v>382</v>
      </c>
      <c r="AA68" s="265">
        <f>AA64+AA65+AA66+AA67</f>
        <v>24799356</v>
      </c>
      <c r="AB68" s="282" t="s">
        <v>201</v>
      </c>
      <c r="AF68" s="336"/>
    </row>
    <row r="69" spans="12:35" s="200" customFormat="1" ht="45" customHeight="1">
      <c r="R69" s="259"/>
      <c r="S69" s="259"/>
      <c r="T69" s="259"/>
      <c r="X69" s="235" t="s">
        <v>383</v>
      </c>
      <c r="Y69" s="220" t="s">
        <v>384</v>
      </c>
      <c r="Z69" s="220" t="s">
        <v>385</v>
      </c>
      <c r="AA69" s="265">
        <f>INT(1000000*O53*(100-O56)/80)</f>
        <v>12250000000</v>
      </c>
      <c r="AB69" s="282" t="s">
        <v>386</v>
      </c>
      <c r="AF69" s="336"/>
    </row>
    <row r="70" spans="12:35" s="200" customFormat="1" ht="45" customHeight="1">
      <c r="X70" s="238" t="s">
        <v>387</v>
      </c>
      <c r="Y70" s="225" t="s">
        <v>388</v>
      </c>
      <c r="Z70" s="225" t="s">
        <v>389</v>
      </c>
      <c r="AA70" s="277">
        <f>ROUNDUP(AA68*1000000/AA69,0)*10</f>
        <v>20250</v>
      </c>
      <c r="AB70" s="219" t="s">
        <v>117</v>
      </c>
      <c r="AF70" s="336"/>
    </row>
    <row r="71" spans="12:35" s="200" customFormat="1" ht="60" customHeight="1">
      <c r="X71" s="1214" t="s">
        <v>390</v>
      </c>
      <c r="Y71" s="1215"/>
      <c r="Z71" s="1215"/>
      <c r="AA71" s="1215"/>
      <c r="AB71" s="1216"/>
    </row>
    <row r="72" spans="12:35" s="200" customFormat="1" ht="78" customHeight="1">
      <c r="X72" s="280" t="s">
        <v>391</v>
      </c>
      <c r="Y72" s="391" t="s">
        <v>392</v>
      </c>
      <c r="Z72" s="220" t="s">
        <v>393</v>
      </c>
      <c r="AA72" s="265">
        <f>MAX(ROUNDUP(O55*O53/1000/8,0),AA49+8)</f>
        <v>20</v>
      </c>
      <c r="AB72" s="282" t="s">
        <v>394</v>
      </c>
    </row>
    <row r="73" spans="12:35" s="200" customFormat="1" ht="71.25" customHeight="1">
      <c r="X73" s="288" t="s">
        <v>395</v>
      </c>
      <c r="Y73" s="289" t="s">
        <v>396</v>
      </c>
      <c r="Z73" s="223" t="s">
        <v>397</v>
      </c>
      <c r="AA73" s="290">
        <f>ROUNDDOWN((AA69-(AA66+AA65+AA64))/(AA60+AA62+2),0)</f>
        <v>4044082</v>
      </c>
      <c r="AB73" s="291" t="s">
        <v>394</v>
      </c>
    </row>
    <row r="74" spans="12:35" s="200" customFormat="1" ht="30" customHeight="1"/>
    <row r="75" spans="12:35" s="200" customFormat="1" ht="45" customHeight="1"/>
    <row r="76" spans="12:35" s="200" customFormat="1" ht="30" customHeight="1"/>
    <row r="77" spans="12:35" s="200" customFormat="1" ht="45" customHeight="1"/>
    <row r="78" spans="12:35" s="200" customFormat="1" ht="60" customHeight="1"/>
    <row r="79" spans="12:35" s="200" customFormat="1" ht="30" customHeight="1"/>
    <row r="80" spans="12:35" s="200" customFormat="1" ht="30" customHeight="1"/>
    <row r="81" s="200" customFormat="1" ht="30" customHeight="1"/>
    <row r="82" s="200" customFormat="1" ht="30" customHeight="1"/>
    <row r="83" s="200" customFormat="1" ht="30" customHeight="1"/>
    <row r="84" s="200" customFormat="1" ht="30" customHeight="1"/>
    <row r="85" s="200" customFormat="1" ht="30" customHeight="1"/>
    <row r="86" s="200" customFormat="1" ht="30" customHeight="1"/>
    <row r="87" s="200" customFormat="1" ht="30" customHeight="1"/>
    <row r="88" s="200" customFormat="1" ht="30" customHeight="1"/>
    <row r="89" s="200" customFormat="1" ht="30" customHeight="1"/>
    <row r="90" s="200" customFormat="1" ht="30" customHeight="1"/>
    <row r="91" s="200" customFormat="1" ht="30" customHeight="1"/>
    <row r="92" s="200" customFormat="1" ht="30" customHeight="1"/>
    <row r="93" s="200" customFormat="1" ht="30" customHeight="1"/>
    <row r="94" s="200" customFormat="1" ht="30" customHeight="1"/>
    <row r="95" s="200" customFormat="1" ht="30" customHeight="1"/>
    <row r="96" s="200" customFormat="1" ht="30" customHeight="1"/>
    <row r="97" spans="12:20" s="200" customFormat="1" ht="30" customHeight="1"/>
    <row r="98" spans="12:20" s="200" customFormat="1" ht="30" customHeight="1"/>
    <row r="99" spans="12:20" s="200" customFormat="1" ht="30" customHeight="1"/>
    <row r="100" spans="12:20" s="200" customFormat="1" ht="30" customHeight="1">
      <c r="R100" s="384"/>
      <c r="S100" s="1225"/>
      <c r="T100" s="1225"/>
    </row>
    <row r="101" spans="12:20" s="200" customFormat="1" ht="30" customHeight="1">
      <c r="R101" s="384"/>
      <c r="S101" s="384"/>
      <c r="T101" s="384"/>
    </row>
    <row r="102" spans="12:20" s="200" customFormat="1" ht="30" customHeight="1">
      <c r="R102" s="384"/>
      <c r="S102" s="384"/>
      <c r="T102" s="384"/>
    </row>
    <row r="103" spans="12:20" s="200" customFormat="1" ht="30" customHeight="1">
      <c r="R103" s="384"/>
      <c r="S103" s="384"/>
      <c r="T103" s="384"/>
    </row>
    <row r="104" spans="12:20" s="200" customFormat="1" ht="30" customHeight="1">
      <c r="R104" s="384"/>
      <c r="S104" s="384"/>
      <c r="T104" s="384"/>
    </row>
    <row r="105" spans="12:20" s="200" customFormat="1" ht="30" customHeight="1">
      <c r="R105" s="384"/>
      <c r="S105" s="1225"/>
      <c r="T105" s="1225"/>
    </row>
    <row r="106" spans="12:20" s="200" customFormat="1" ht="30" customHeight="1">
      <c r="Q106" s="385"/>
      <c r="R106" s="384"/>
      <c r="S106" s="384"/>
      <c r="T106" s="384"/>
    </row>
    <row r="107" spans="12:20" s="200" customFormat="1" ht="30" customHeight="1">
      <c r="L107" s="384"/>
      <c r="M107" s="384"/>
      <c r="N107" s="384"/>
      <c r="O107" s="384"/>
      <c r="Q107" s="384"/>
      <c r="R107" s="384"/>
      <c r="S107" s="384"/>
      <c r="T107" s="384"/>
    </row>
    <row r="108" spans="12:20" s="200" customFormat="1" ht="30" customHeight="1">
      <c r="L108" s="384"/>
      <c r="M108" s="384"/>
      <c r="N108" s="384"/>
      <c r="O108" s="384"/>
      <c r="Q108" s="384"/>
      <c r="R108" s="384"/>
      <c r="S108" s="384"/>
      <c r="T108" s="384"/>
    </row>
    <row r="109" spans="12:20" s="200" customFormat="1" ht="30" customHeight="1">
      <c r="L109" s="384"/>
      <c r="M109" s="384"/>
      <c r="N109" s="384"/>
      <c r="O109" s="384"/>
      <c r="Q109" s="384"/>
      <c r="R109" s="384"/>
      <c r="S109" s="384"/>
      <c r="T109" s="384"/>
    </row>
    <row r="110" spans="12:20" s="200" customFormat="1" ht="30" customHeight="1">
      <c r="L110" s="384"/>
      <c r="M110" s="384"/>
      <c r="N110" s="384"/>
      <c r="O110" s="384"/>
      <c r="P110" s="385"/>
      <c r="Q110" s="384"/>
      <c r="R110" s="384"/>
      <c r="S110" s="1225"/>
      <c r="T110" s="1225"/>
    </row>
    <row r="111" spans="12:20" s="200" customFormat="1" ht="30" customHeight="1">
      <c r="L111" s="384"/>
      <c r="M111" s="384"/>
      <c r="N111" s="384"/>
      <c r="O111" s="384"/>
      <c r="P111" s="384"/>
      <c r="Q111" s="384"/>
      <c r="R111" s="384"/>
      <c r="S111" s="384"/>
      <c r="T111" s="384"/>
    </row>
    <row r="112" spans="12:20" s="200" customFormat="1" ht="30" customHeight="1">
      <c r="L112" s="384"/>
      <c r="M112" s="384"/>
      <c r="N112" s="384"/>
      <c r="O112" s="384"/>
      <c r="P112" s="384"/>
      <c r="Q112" s="384"/>
      <c r="R112" s="384"/>
      <c r="S112" s="384"/>
      <c r="T112" s="384"/>
    </row>
    <row r="113" spans="12:20" s="200" customFormat="1" ht="30" customHeight="1">
      <c r="L113" s="384"/>
      <c r="M113" s="384"/>
      <c r="N113" s="384"/>
      <c r="O113" s="384"/>
      <c r="P113" s="384"/>
      <c r="Q113" s="384"/>
      <c r="R113" s="384"/>
      <c r="S113" s="384"/>
      <c r="T113" s="384"/>
    </row>
    <row r="114" spans="12:20" s="200" customFormat="1" ht="30" customHeight="1">
      <c r="L114" s="385"/>
      <c r="M114" s="385"/>
      <c r="N114" s="384"/>
      <c r="O114" s="384"/>
      <c r="P114" s="384"/>
      <c r="Q114" s="384"/>
      <c r="R114" s="384"/>
      <c r="S114" s="384"/>
      <c r="T114" s="384"/>
    </row>
    <row r="115" spans="12:20" s="200" customFormat="1" ht="30" customHeight="1">
      <c r="L115" s="384"/>
      <c r="M115" s="385"/>
      <c r="N115" s="384"/>
      <c r="O115" s="384"/>
      <c r="P115" s="384"/>
      <c r="Q115" s="384"/>
      <c r="R115" s="384"/>
      <c r="S115" s="384"/>
      <c r="T115" s="384"/>
    </row>
    <row r="116" spans="12:20" s="200" customFormat="1" ht="30" customHeight="1">
      <c r="L116" s="384"/>
      <c r="M116" s="385"/>
      <c r="N116" s="384"/>
      <c r="O116" s="384"/>
      <c r="P116" s="384"/>
      <c r="Q116" s="384"/>
      <c r="R116" s="384"/>
      <c r="S116" s="384"/>
      <c r="T116" s="384"/>
    </row>
    <row r="117" spans="12:20" s="200" customFormat="1" ht="30" customHeight="1">
      <c r="L117" s="384"/>
      <c r="M117" s="384"/>
      <c r="N117" s="384"/>
      <c r="O117" s="384"/>
      <c r="P117" s="384"/>
      <c r="Q117" s="384"/>
      <c r="R117" s="384"/>
      <c r="S117" s="384"/>
      <c r="T117" s="384"/>
    </row>
    <row r="118" spans="12:20" s="200" customFormat="1" ht="30" customHeight="1">
      <c r="L118" s="384"/>
      <c r="M118" s="384"/>
      <c r="N118" s="384"/>
      <c r="O118" s="384"/>
      <c r="P118" s="384"/>
      <c r="Q118" s="384"/>
      <c r="R118" s="384"/>
      <c r="S118" s="384"/>
      <c r="T118" s="384"/>
    </row>
    <row r="119" spans="12:20" s="200" customFormat="1" ht="30" customHeight="1">
      <c r="L119" s="384"/>
      <c r="M119" s="384"/>
      <c r="N119" s="384"/>
      <c r="O119" s="384"/>
      <c r="P119" s="384"/>
      <c r="Q119" s="384"/>
      <c r="R119" s="384"/>
      <c r="S119" s="384"/>
      <c r="T119" s="384"/>
    </row>
    <row r="120" spans="12:20" s="200" customFormat="1" ht="30" customHeight="1">
      <c r="L120" s="384"/>
      <c r="M120" s="384"/>
      <c r="N120" s="384"/>
      <c r="O120" s="384"/>
      <c r="P120" s="384"/>
      <c r="Q120" s="384"/>
      <c r="R120" s="384"/>
      <c r="S120" s="384"/>
      <c r="T120" s="384"/>
    </row>
    <row r="121" spans="12:20" s="200" customFormat="1" ht="30" customHeight="1">
      <c r="L121" s="384"/>
      <c r="M121" s="384"/>
      <c r="N121" s="384"/>
      <c r="O121" s="384"/>
      <c r="P121" s="384"/>
      <c r="Q121" s="384"/>
      <c r="R121" s="384"/>
      <c r="S121" s="384"/>
      <c r="T121" s="384"/>
    </row>
    <row r="122" spans="12:20" s="200" customFormat="1" ht="30" customHeight="1">
      <c r="L122" s="384"/>
      <c r="M122" s="384"/>
      <c r="N122" s="384"/>
      <c r="O122" s="384"/>
      <c r="P122" s="384"/>
      <c r="Q122" s="384"/>
      <c r="R122" s="384"/>
      <c r="S122" s="384"/>
      <c r="T122" s="384"/>
    </row>
    <row r="123" spans="12:20" s="200" customFormat="1" ht="30" customHeight="1">
      <c r="L123" s="384"/>
      <c r="M123" s="384"/>
      <c r="N123" s="384"/>
      <c r="O123" s="384"/>
      <c r="P123" s="384"/>
      <c r="Q123" s="384"/>
      <c r="R123" s="384"/>
      <c r="S123" s="384"/>
      <c r="T123" s="384"/>
    </row>
    <row r="124" spans="12:20" s="200" customFormat="1" ht="30" customHeight="1">
      <c r="L124" s="384"/>
      <c r="M124" s="384"/>
      <c r="N124" s="384"/>
      <c r="O124" s="384"/>
      <c r="P124" s="384"/>
      <c r="Q124" s="384"/>
      <c r="R124" s="384"/>
      <c r="S124" s="384"/>
      <c r="T124" s="384"/>
    </row>
    <row r="125" spans="12:20" s="200" customFormat="1" ht="30" customHeight="1">
      <c r="L125" s="384"/>
      <c r="M125" s="384"/>
      <c r="N125" s="384"/>
      <c r="O125" s="384"/>
      <c r="P125" s="384"/>
      <c r="Q125" s="384"/>
    </row>
    <row r="126" spans="12:20" s="200" customFormat="1" ht="30" customHeight="1">
      <c r="L126" s="384"/>
      <c r="M126" s="384"/>
      <c r="N126" s="384"/>
      <c r="O126" s="384"/>
      <c r="P126" s="384"/>
      <c r="Q126" s="384"/>
    </row>
    <row r="127" spans="12:20" s="200" customFormat="1" ht="30" customHeight="1">
      <c r="L127" s="384"/>
      <c r="M127" s="384"/>
      <c r="N127" s="384"/>
      <c r="O127" s="384"/>
      <c r="P127" s="384"/>
      <c r="Q127" s="384"/>
    </row>
    <row r="128" spans="12:20" s="200" customFormat="1" ht="30" customHeight="1">
      <c r="L128" s="384"/>
      <c r="M128" s="384"/>
      <c r="N128" s="384"/>
      <c r="O128" s="384"/>
      <c r="P128" s="384"/>
      <c r="Q128" s="384"/>
    </row>
    <row r="129" spans="12:17" s="200" customFormat="1" ht="30" customHeight="1">
      <c r="L129" s="384"/>
      <c r="M129" s="384"/>
      <c r="N129" s="384"/>
      <c r="O129" s="384"/>
      <c r="P129" s="384"/>
      <c r="Q129" s="384"/>
    </row>
    <row r="130" spans="12:17" s="200" customFormat="1" ht="30" customHeight="1">
      <c r="L130" s="384"/>
      <c r="M130" s="384"/>
      <c r="N130" s="384"/>
      <c r="O130" s="384"/>
      <c r="P130" s="384"/>
      <c r="Q130" s="384"/>
    </row>
    <row r="131" spans="12:17" s="200" customFormat="1" ht="30" customHeight="1">
      <c r="L131" s="384"/>
      <c r="M131" s="384"/>
      <c r="N131" s="384"/>
      <c r="O131" s="384"/>
      <c r="P131" s="384"/>
    </row>
    <row r="132" spans="12:17" s="200" customFormat="1" ht="30" customHeight="1">
      <c r="P132" s="384"/>
    </row>
    <row r="133" spans="12:17" s="200" customFormat="1" ht="30" customHeight="1">
      <c r="P133" s="384"/>
    </row>
    <row r="134" spans="12:17" s="200" customFormat="1" ht="30" customHeight="1">
      <c r="P134" s="384"/>
    </row>
    <row r="135" spans="12:17" s="200" customFormat="1" ht="30" customHeight="1"/>
  </sheetData>
  <sheetProtection algorithmName="SHA-512" hashValue="XXMfMUZYrDUsEJfBg2P8hDYCoLzj2LEyifXKY6LgHp/2YsiHv277URXl7D8UVPUQPCIv7BD8KLLzbGCimqjSTA==" saltValue="/2AU8LVvNxXQzaHiqk5mxQ==" spinCount="100000" sheet="1" objects="1" scenarios="1"/>
  <mergeCells count="29">
    <mergeCell ref="S100:T100"/>
    <mergeCell ref="S105:T105"/>
    <mergeCell ref="S110:T110"/>
    <mergeCell ref="AI64:AI65"/>
    <mergeCell ref="L57:P57"/>
    <mergeCell ref="L60:P60"/>
    <mergeCell ref="L63:P63"/>
    <mergeCell ref="L66:P66"/>
    <mergeCell ref="X71:AB71"/>
    <mergeCell ref="L48:P48"/>
    <mergeCell ref="L50:P50"/>
    <mergeCell ref="AD50:AI50"/>
    <mergeCell ref="L52:P52"/>
    <mergeCell ref="X53:AB53"/>
    <mergeCell ref="L38:P38"/>
    <mergeCell ref="X40:AB40"/>
    <mergeCell ref="L41:P41"/>
    <mergeCell ref="R42:V42"/>
    <mergeCell ref="L43:O43"/>
    <mergeCell ref="L27:P27"/>
    <mergeCell ref="L29:P29"/>
    <mergeCell ref="L31:P31"/>
    <mergeCell ref="R31:V31"/>
    <mergeCell ref="R36:V36"/>
    <mergeCell ref="R25:V25"/>
    <mergeCell ref="X25:AB25"/>
    <mergeCell ref="AD25:BD25"/>
    <mergeCell ref="R26:V26"/>
    <mergeCell ref="X26:AB26"/>
  </mergeCells>
  <phoneticPr fontId="36" type="noConversion"/>
  <dataValidations count="40">
    <dataValidation type="whole" allowBlank="1" showInputMessage="1" showErrorMessage="1" errorTitle="设置值超出范围" error="预留带宽设置值超出范围" sqref="O56">
      <formula1>0</formula1>
      <formula2>U52</formula2>
    </dataValidation>
    <dataValidation type="custom" allowBlank="1" showInputMessage="1" showErrorMessage="1" error="输入参数值为1或者2" sqref="B8">
      <formula1>OR((B8=1),(B8=2))</formula1>
    </dataValidation>
    <dataValidation type="whole" allowBlank="1" showInputMessage="1" showErrorMessage="1" errorTitle="设置值超出范围" error="包间隔设置值超出范围" sqref="O55">
      <formula1>0</formula1>
      <formula2>U50</formula2>
    </dataValidation>
    <dataValidation type="custom" allowBlank="1" showInputMessage="1" showErrorMessage="1" sqref="O54">
      <formula1>AND(MOD(O54,4)=0,O54&gt;=512,O54&lt;=16384)</formula1>
    </dataValidation>
    <dataValidation type="list" allowBlank="1" showInputMessage="1" showErrorMessage="1" sqref="N26">
      <formula1>$BB$27:$BB$30</formula1>
    </dataValidation>
    <dataValidation type="custom" allowBlank="1" showInputMessage="1" showErrorMessage="1" errorTitle="输入数值非法" error="输入范围是8~图像高度最大值，步长为8" sqref="B5">
      <formula1>AND((B5&lt;=B3),(B5&gt;=2),(MOD(B5,8)=0))</formula1>
    </dataValidation>
    <dataValidation type="whole" allowBlank="1" showInputMessage="1" showErrorMessage="1" error="设置值范围为0~包间隔最大值" sqref="B17">
      <formula1>0</formula1>
      <formula2>B18</formula2>
    </dataValidation>
    <dataValidation allowBlank="1" showInputMessage="1" showErrorMessage="1" error="输入范围是64~1024，步长为2" sqref="A1:B1"/>
    <dataValidation type="custom" allowBlank="1" showInputMessage="1" showErrorMessage="1" errorTitle="输入数值非法" error="输入范围是16~图像宽度最大值，步长为16" sqref="B4">
      <formula1>AND((B4&lt;=B2),(B4&gt;=16),(MOD(B4,16)=0))</formula1>
    </dataValidation>
    <dataValidation type="list" allowBlank="1" showInputMessage="1" showErrorMessage="1" errorTitle="超出范围" error="曝光时间的范围是14us-1s" sqref="O33">
      <formula1>"Standard,Ultrashort"</formula1>
    </dataValidation>
    <dataValidation type="whole" allowBlank="1" showInputMessage="1" showErrorMessage="1" errorTitle="超出范围" error="曝光时间的范围是3us-15s" sqref="B9">
      <formula1>3</formula1>
      <formula2>15000000</formula2>
    </dataValidation>
    <dataValidation type="custom" allowBlank="1" showInputMessage="1" showErrorMessage="1" error="输入参数值为1或者2，并且当水平像素抽样不为1时不能输入" sqref="B6">
      <formula1>AND(OR((B6=1),(B6=2)),B7=1)</formula1>
    </dataValidation>
    <dataValidation type="custom" allowBlank="1" showInputMessage="1" showErrorMessage="1" error="输入参数值为1或者2，并且当水平像素抽样不为1时不能输入" sqref="B7">
      <formula1>AND(OR((B7=1),(B7=2)),B6=1)</formula1>
    </dataValidation>
    <dataValidation type="list" allowBlank="1" showInputMessage="1" showErrorMessage="1" error="请输入8,10或者12" sqref="B10">
      <formula1>"8,10,12"</formula1>
    </dataValidation>
    <dataValidation type="list" allowBlank="1" showInputMessage="1" showErrorMessage="1" error="像素格式为8，Sensor位深支持BPP8,BPP12_x000a_像素格式为10，Sensor位深支持BPP10_x000a_像素格式为12，Sensor位深支持BPP12" sqref="B11">
      <formula1>"BPP8,BPP10,BPP12"</formula1>
    </dataValidation>
    <dataValidation type="custom" allowBlank="1" showInputMessage="1" showErrorMessage="1" error="请输入10000或者1000" sqref="B12">
      <formula1>OR((B12=10000),(B12=1000))</formula1>
    </dataValidation>
    <dataValidation type="list" allowBlank="1" showInputMessage="1" showErrorMessage="1" errorTitle="超出范围" error="请输入0或者1" sqref="B13 B21">
      <formula1>"0,1"</formula1>
    </dataValidation>
    <dataValidation type="custom" allowBlank="1" showInputMessage="1" showErrorMessage="1" error="设置值范围0.1~10000.0，精确到一位小数" sqref="B14">
      <formula1>AND(TRUNC(B14,1)=B14,(B14&gt;=0.1),(B14&lt;=10000))</formula1>
    </dataValidation>
    <dataValidation type="whole" allowBlank="1" showInputMessage="1" showErrorMessage="1" error="输入范围是[0,5000]，单位为us" sqref="B20">
      <formula1>0</formula1>
      <formula2>5000</formula2>
    </dataValidation>
    <dataValidation type="whole" allowBlank="1" showInputMessage="1" showErrorMessage="1" error="设置范围为0~预留带宽最大值" sqref="B15">
      <formula1>0</formula1>
      <formula2>B16</formula2>
    </dataValidation>
    <dataValidation type="custom" allowBlank="1" showInputMessage="1" showErrorMessage="1" error="输入范围是512~8192，步长为4" sqref="B19">
      <formula1>AND((B19&lt;=8192),(B19&gt;=512),(MOD(B19,4)=0))</formula1>
    </dataValidation>
    <dataValidation type="list" allowBlank="1" showInputMessage="1" showErrorMessage="1" sqref="N25">
      <formula1>$AD$27:$AD$41</formula1>
    </dataValidation>
    <dataValidation type="whole" allowBlank="1" showInputMessage="1" showErrorMessage="1" errorTitle="超出范围" error="触发延时的范围是0-3000000us" sqref="O42">
      <formula1>0</formula1>
      <formula2>3000000</formula2>
    </dataValidation>
    <dataValidation type="list" allowBlank="1" showInputMessage="1" showErrorMessage="1" sqref="O26">
      <formula1>"BPP8,BPP10,BPP12"</formula1>
    </dataValidation>
    <dataValidation type="whole" operator="lessThanOrEqual" allowBlank="1" showInputMessage="1" showErrorMessage="1" error="Binning/Skipping系数最大为2" prompt="设置垂直Binning/Skipping时，需要同步修改垂直ROI" sqref="O62 O65">
      <formula1>2</formula1>
    </dataValidation>
    <dataValidation type="list" allowBlank="1" showInputMessage="1" showErrorMessage="1" sqref="O30">
      <formula1>"8,10,12"</formula1>
    </dataValidation>
    <dataValidation type="list" allowBlank="1" showInputMessage="1" showErrorMessage="1" errorTitle="超出范围" error="曝光时间的范围是14us-1s" sqref="O32">
      <formula1>"Timed,TriggerWidth"</formula1>
    </dataValidation>
    <dataValidation type="whole" allowBlank="1" showInputMessage="1" showErrorMessage="1" errorTitle="超出范围" error="曝光时间的范围是14us-1s" sqref="O34">
      <formula1>4</formula1>
      <formula2>1000000</formula2>
    </dataValidation>
    <dataValidation type="whole" allowBlank="1" showInputMessage="1" showErrorMessage="1" errorTitle="超出范围" error="曝光延迟的范围是0-5000us" sqref="O35">
      <formula1>0</formula1>
      <formula2>5000</formula2>
    </dataValidation>
    <dataValidation type="whole" allowBlank="1" showInputMessage="1" showErrorMessage="1" errorTitle="输入数值非法" error="最小值4，最大值D12" sqref="O36">
      <formula1>0</formula1>
      <formula2>(O47*O65+AA31+AA36+AA39)*U28/1000+1</formula2>
    </dataValidation>
    <dataValidation type="whole" allowBlank="1" showInputMessage="1" showErrorMessage="1" errorTitle="输入数值非法" error="最小值2，最大值1000000" sqref="O37">
      <formula1>0</formula1>
      <formula2>1000000</formula2>
    </dataValidation>
    <dataValidation type="whole" allowBlank="1" showInputMessage="1" showErrorMessage="1" errorTitle="输入数值非法" error="最小值4，最大值D12" sqref="O46">
      <formula1>4</formula1>
      <formula2>N46</formula2>
    </dataValidation>
    <dataValidation type="whole" allowBlank="1" showInputMessage="1" showErrorMessage="1" errorTitle="输入数值非法" error="最小值2，最大值D13" sqref="O47">
      <formula1>2</formula1>
      <formula2>N47</formula2>
    </dataValidation>
    <dataValidation type="list" allowBlank="1" showInputMessage="1" showErrorMessage="1" sqref="O49 O51 O39:O40">
      <formula1>"0,1"</formula1>
    </dataValidation>
    <dataValidation type="list" allowBlank="1" showInputMessage="1" showErrorMessage="1" sqref="O53">
      <formula1>"1000,10000"</formula1>
    </dataValidation>
    <dataValidation type="list" allowBlank="1" showInputMessage="1" showErrorMessage="1" errorTitle="超出范围" error="0:关闭_x000a_1:打开" sqref="O58">
      <formula1>"0,1"</formula1>
    </dataValidation>
    <dataValidation type="decimal" allowBlank="1" showInputMessage="1" showErrorMessage="1" sqref="O59">
      <formula1>0.1</formula1>
      <formula2>10000</formula2>
    </dataValidation>
    <dataValidation type="whole" operator="lessThanOrEqual" allowBlank="1" showInputMessage="1" showErrorMessage="1" error="Binning/Skipping系数最大为2" prompt="设置水平Binning/Skipping时，需要同步修改水平ROI" sqref="O61 O64">
      <formula1>2</formula1>
    </dataValidation>
    <dataValidation allowBlank="1" showErrorMessage="1" promptTitle="参数变化" prompt="该参数会根据当前生效的水平像素Binning、水平像素抽样变化" sqref="B2:B3"/>
    <dataValidation type="whole" operator="lessThanOrEqual" allowBlank="1" showInputMessage="1" showErrorMessage="1" sqref="O44:O45">
      <formula1>N46</formula1>
    </dataValidation>
  </dataValidations>
  <pageMargins left="0.75" right="0.75" top="1" bottom="1" header="0.5" footer="0.5"/>
  <drawing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V149"/>
  <sheetViews>
    <sheetView workbookViewId="0">
      <selection activeCell="B12" sqref="B12"/>
    </sheetView>
  </sheetViews>
  <sheetFormatPr defaultColWidth="9" defaultRowHeight="30" customHeight="1"/>
  <cols>
    <col min="1" max="1" width="28.625" style="200" customWidth="1"/>
    <col min="2" max="2" width="31.25" style="200" customWidth="1"/>
    <col min="3" max="3" width="14.875" style="200" customWidth="1"/>
    <col min="4" max="4" width="18.25" style="200" customWidth="1"/>
    <col min="5" max="5" width="6.75" style="200" customWidth="1"/>
    <col min="6" max="6" width="4.5" style="200" customWidth="1"/>
    <col min="7" max="7" width="17.75" style="200" customWidth="1"/>
    <col min="8" max="8" width="15.75" style="200" customWidth="1"/>
    <col min="9" max="9" width="57.375" style="200" customWidth="1"/>
    <col min="10" max="10" width="18.25" style="200" customWidth="1"/>
    <col min="11" max="12" width="4.5" style="200" customWidth="1"/>
    <col min="13" max="13" width="25.625" style="200" customWidth="1"/>
    <col min="14" max="14" width="22.875" style="200" customWidth="1"/>
    <col min="15" max="15" width="43.5" style="200" customWidth="1"/>
    <col min="16" max="16" width="10.25" style="200" customWidth="1"/>
    <col min="17" max="17" width="6.375" style="200" customWidth="1"/>
    <col min="18" max="18" width="4.875" style="200" customWidth="1"/>
    <col min="19" max="19" width="26.5" style="200" customWidth="1"/>
    <col min="20" max="20" width="13.125" style="200" customWidth="1"/>
    <col min="21" max="21" width="20.625" style="200" customWidth="1"/>
    <col min="22" max="22" width="23.375" style="200" customWidth="1"/>
    <col min="23" max="23" width="14.125" style="200" customWidth="1"/>
    <col min="24" max="24" width="18.875" style="200" customWidth="1"/>
    <col min="25" max="25" width="12" style="200" customWidth="1"/>
    <col min="26" max="26" width="14" style="200" customWidth="1"/>
    <col min="27" max="27" width="17" style="200" customWidth="1"/>
    <col min="28" max="28" width="20.375" style="200" customWidth="1"/>
    <col min="29" max="29" width="21" style="200" customWidth="1"/>
    <col min="30" max="30" width="20.25" style="200" customWidth="1"/>
    <col min="31" max="31" width="21.5" style="200" customWidth="1"/>
    <col min="32" max="32" width="24.125" style="200" customWidth="1"/>
    <col min="33" max="33" width="11.625" style="200" customWidth="1"/>
    <col min="34" max="34" width="21.625" style="200" customWidth="1"/>
    <col min="35" max="35" width="17.25" style="200" customWidth="1"/>
    <col min="36" max="36" width="13.5" style="200" customWidth="1"/>
    <col min="37" max="37" width="12.875" style="200" customWidth="1"/>
    <col min="38" max="40" width="21.625" style="200" customWidth="1"/>
    <col min="41" max="41" width="19.375" style="200" customWidth="1"/>
    <col min="42" max="46" width="20.25" style="200" customWidth="1"/>
    <col min="47" max="47" width="23" style="200" customWidth="1"/>
    <col min="48" max="48" width="18.375" style="200" customWidth="1"/>
    <col min="49" max="16384" width="9" style="200"/>
  </cols>
  <sheetData>
    <row r="1" spans="1:3" s="403" customFormat="1" ht="13.5">
      <c r="A1" s="198" t="s">
        <v>16</v>
      </c>
      <c r="B1" s="199"/>
    </row>
    <row r="2" spans="1:3" s="403" customFormat="1" ht="13.5">
      <c r="A2" s="198" t="s">
        <v>17</v>
      </c>
      <c r="B2" s="198">
        <f>IF(C30=1,C28,C26)</f>
        <v>5120</v>
      </c>
    </row>
    <row r="3" spans="1:3" s="403" customFormat="1" ht="13.5">
      <c r="A3" s="198" t="s">
        <v>18</v>
      </c>
      <c r="B3" s="198">
        <f>IF(C31=1,C29,C27)</f>
        <v>5120</v>
      </c>
    </row>
    <row r="4" spans="1:3" s="403" customFormat="1" ht="13.5">
      <c r="A4" s="198" t="s">
        <v>19</v>
      </c>
      <c r="B4" s="199">
        <v>5120</v>
      </c>
      <c r="C4" s="405" t="str">
        <f>IF(OR(B4&gt;B2,B4&lt;4),I25,"")</f>
        <v/>
      </c>
    </row>
    <row r="5" spans="1:3" s="403" customFormat="1" ht="13.5">
      <c r="A5" s="198" t="s">
        <v>20</v>
      </c>
      <c r="B5" s="199">
        <v>5120</v>
      </c>
      <c r="C5" s="405" t="str">
        <f>IF(OR(B5&gt;B3,B5&lt;2),I26,"")</f>
        <v/>
      </c>
    </row>
    <row r="6" spans="1:3" s="403" customFormat="1" ht="13.5">
      <c r="A6" s="198" t="s">
        <v>21</v>
      </c>
      <c r="B6" s="199">
        <v>1</v>
      </c>
      <c r="C6" s="405"/>
    </row>
    <row r="7" spans="1:3" s="403" customFormat="1" ht="13.5">
      <c r="A7" s="198" t="s">
        <v>23</v>
      </c>
      <c r="B7" s="199">
        <v>1</v>
      </c>
    </row>
    <row r="8" spans="1:3" s="403" customFormat="1" ht="13.5">
      <c r="A8" s="198" t="s">
        <v>24</v>
      </c>
      <c r="B8" s="199">
        <v>1</v>
      </c>
    </row>
    <row r="9" spans="1:3" s="403" customFormat="1" ht="13.5">
      <c r="A9" s="198" t="s">
        <v>25</v>
      </c>
      <c r="B9" s="199">
        <v>20000</v>
      </c>
    </row>
    <row r="10" spans="1:3" s="403" customFormat="1" ht="13.5">
      <c r="A10" s="198" t="s">
        <v>26</v>
      </c>
      <c r="B10" s="199">
        <v>8</v>
      </c>
    </row>
    <row r="11" spans="1:3" s="403" customFormat="1" ht="13.5">
      <c r="A11" s="198" t="s">
        <v>27</v>
      </c>
      <c r="B11" s="199">
        <v>10000</v>
      </c>
    </row>
    <row r="12" spans="1:3" s="403" customFormat="1" ht="13.5">
      <c r="A12" s="198" t="s">
        <v>28</v>
      </c>
      <c r="B12" s="199">
        <v>0</v>
      </c>
    </row>
    <row r="13" spans="1:3" s="403" customFormat="1" ht="13.5">
      <c r="A13" s="198" t="s">
        <v>29</v>
      </c>
      <c r="B13" s="199">
        <v>40.799999999999997</v>
      </c>
    </row>
    <row r="14" spans="1:3" s="403" customFormat="1" ht="13.5">
      <c r="A14" s="198" t="s">
        <v>30</v>
      </c>
      <c r="B14" s="199">
        <v>10</v>
      </c>
    </row>
    <row r="15" spans="1:3" s="403" customFormat="1" ht="13.5">
      <c r="A15" s="198" t="s">
        <v>31</v>
      </c>
      <c r="B15" s="198">
        <f>J66</f>
        <v>99</v>
      </c>
    </row>
    <row r="16" spans="1:3" s="403" customFormat="1" ht="13.5">
      <c r="A16" s="198" t="s">
        <v>32</v>
      </c>
      <c r="B16" s="199">
        <v>0</v>
      </c>
    </row>
    <row r="17" spans="1:11" s="403" customFormat="1" ht="13.5">
      <c r="A17" s="198" t="s">
        <v>33</v>
      </c>
      <c r="B17" s="198">
        <f>J64</f>
        <v>2781558</v>
      </c>
    </row>
    <row r="18" spans="1:11" s="403" customFormat="1" ht="13.5">
      <c r="A18" s="198" t="s">
        <v>34</v>
      </c>
      <c r="B18" s="199">
        <v>8164</v>
      </c>
    </row>
    <row r="19" spans="1:11" s="403" customFormat="1" ht="13.5">
      <c r="A19" s="198" t="s">
        <v>35</v>
      </c>
      <c r="B19" s="199">
        <v>0</v>
      </c>
    </row>
    <row r="20" spans="1:11" s="403" customFormat="1" ht="13.5">
      <c r="A20" s="198" t="s">
        <v>36</v>
      </c>
      <c r="B20" s="199">
        <v>0</v>
      </c>
    </row>
    <row r="21" spans="1:11" s="403" customFormat="1" ht="13.5">
      <c r="A21" s="198"/>
      <c r="B21" s="199"/>
    </row>
    <row r="22" spans="1:11" s="403" customFormat="1" ht="13.5">
      <c r="A22" s="198" t="s">
        <v>37</v>
      </c>
      <c r="B22" s="198">
        <f>D81</f>
        <v>41.830502802643686</v>
      </c>
      <c r="C22" s="405" t="str">
        <f>IF(I31,I27,"")</f>
        <v/>
      </c>
    </row>
    <row r="23" spans="1:11" ht="30" hidden="1" customHeight="1">
      <c r="A23" s="403"/>
      <c r="B23" s="403"/>
      <c r="C23" s="403"/>
      <c r="D23" s="403"/>
      <c r="E23" s="403"/>
      <c r="F23" s="403"/>
      <c r="G23" s="403"/>
      <c r="H23" s="403"/>
      <c r="I23" s="403"/>
      <c r="J23" s="403"/>
      <c r="K23" s="403"/>
    </row>
    <row r="24" spans="1:11" ht="30" hidden="1" customHeight="1">
      <c r="A24" s="403"/>
      <c r="B24" s="403"/>
      <c r="C24" s="403"/>
      <c r="D24" s="403"/>
      <c r="E24" s="403"/>
      <c r="F24" s="403"/>
      <c r="G24" s="403"/>
      <c r="H24" s="403"/>
      <c r="I24" t="s">
        <v>400</v>
      </c>
      <c r="J24" s="403"/>
      <c r="K24" s="403"/>
    </row>
    <row r="25" spans="1:11" ht="30" hidden="1" customHeight="1">
      <c r="A25" s="403"/>
      <c r="B25" s="403"/>
      <c r="C25" s="403"/>
      <c r="D25" s="403"/>
      <c r="E25" s="403"/>
      <c r="F25" s="403"/>
      <c r="G25" s="403"/>
      <c r="H25" s="403"/>
      <c r="I25" t="s">
        <v>401</v>
      </c>
      <c r="J25" s="403"/>
      <c r="K25" s="403"/>
    </row>
    <row r="26" spans="1:11" s="403" customFormat="1" ht="27" hidden="1">
      <c r="A26" s="198" t="s">
        <v>40</v>
      </c>
      <c r="B26" s="198"/>
      <c r="C26" s="199">
        <f>ROUNDDOWN(C28/2/16,0)*16</f>
        <v>2560</v>
      </c>
      <c r="I26" s="403" t="s">
        <v>402</v>
      </c>
    </row>
    <row r="27" spans="1:11" s="403" customFormat="1" ht="27" hidden="1">
      <c r="A27" s="198" t="s">
        <v>42</v>
      </c>
      <c r="B27" s="198"/>
      <c r="C27" s="199">
        <f>C29/2</f>
        <v>2560</v>
      </c>
      <c r="I27" s="403" t="s">
        <v>403</v>
      </c>
    </row>
    <row r="28" spans="1:11" s="403" customFormat="1" ht="13.5" hidden="1">
      <c r="A28" s="198" t="s">
        <v>44</v>
      </c>
      <c r="B28" s="198"/>
      <c r="C28" s="199">
        <v>5120</v>
      </c>
    </row>
    <row r="29" spans="1:11" s="403" customFormat="1" ht="13.5" hidden="1">
      <c r="A29" s="198" t="s">
        <v>45</v>
      </c>
      <c r="B29" s="198"/>
      <c r="C29" s="199">
        <v>5120</v>
      </c>
    </row>
    <row r="30" spans="1:11" s="403" customFormat="1" ht="13.5" hidden="1">
      <c r="A30" s="198" t="s">
        <v>46</v>
      </c>
      <c r="B30" s="198"/>
      <c r="C30" s="199">
        <f>IF(B6=1,B7,B6)</f>
        <v>1</v>
      </c>
      <c r="I30" s="403" t="s">
        <v>404</v>
      </c>
    </row>
    <row r="31" spans="1:11" s="403" customFormat="1" ht="13.5" hidden="1">
      <c r="A31" s="198" t="s">
        <v>48</v>
      </c>
      <c r="B31" s="198"/>
      <c r="C31" s="199">
        <f>B8</f>
        <v>1</v>
      </c>
      <c r="I31" s="403">
        <f>IF(OR(OR(B4&gt;B2,B4&lt;4),OR(B5&gt;B3,B5&lt;2)),1,0)</f>
        <v>0</v>
      </c>
    </row>
    <row r="32" spans="1:11" ht="30" hidden="1" customHeight="1"/>
    <row r="33" spans="1:48" ht="30" hidden="1" customHeight="1"/>
    <row r="34" spans="1:48" ht="30" hidden="1" customHeight="1"/>
    <row r="35" spans="1:48" ht="30" hidden="1" customHeight="1"/>
    <row r="36" spans="1:48" ht="30" hidden="1" customHeight="1"/>
    <row r="37" spans="1:48" ht="30" hidden="1" customHeight="1"/>
    <row r="38" spans="1:48" ht="30" hidden="1" customHeight="1"/>
    <row r="39" spans="1:48" ht="30" hidden="1" customHeight="1"/>
    <row r="40" spans="1:48" ht="30" hidden="1" customHeight="1">
      <c r="A40" s="201" t="s">
        <v>49</v>
      </c>
      <c r="B40" s="201" t="s">
        <v>50</v>
      </c>
      <c r="C40" s="202" t="s">
        <v>405</v>
      </c>
      <c r="D40" s="203"/>
      <c r="E40" s="203"/>
      <c r="F40" s="203"/>
      <c r="G40" s="1202" t="s">
        <v>52</v>
      </c>
      <c r="H40" s="1203"/>
      <c r="I40" s="1203"/>
      <c r="J40" s="1203"/>
      <c r="K40" s="1204"/>
      <c r="L40" s="259"/>
      <c r="M40" s="1202" t="s">
        <v>53</v>
      </c>
      <c r="N40" s="1203"/>
      <c r="O40" s="1203"/>
      <c r="P40" s="1203"/>
      <c r="Q40" s="1204"/>
      <c r="R40" s="259"/>
      <c r="S40" s="1205" t="s">
        <v>54</v>
      </c>
      <c r="T40" s="1206"/>
      <c r="U40" s="1206"/>
      <c r="V40" s="1206"/>
      <c r="W40" s="1206"/>
      <c r="X40" s="1206"/>
      <c r="Y40" s="1206"/>
      <c r="Z40" s="1206"/>
      <c r="AA40" s="1206"/>
      <c r="AB40" s="1206"/>
      <c r="AC40" s="1206"/>
      <c r="AD40" s="1206"/>
      <c r="AE40" s="1206"/>
      <c r="AF40" s="1206"/>
      <c r="AG40" s="1206"/>
      <c r="AH40" s="1206"/>
      <c r="AI40" s="1206"/>
      <c r="AJ40" s="1206"/>
      <c r="AK40" s="1206"/>
      <c r="AL40" s="1206"/>
      <c r="AM40" s="1206"/>
      <c r="AN40" s="1206"/>
      <c r="AO40" s="1206"/>
      <c r="AP40" s="1206"/>
      <c r="AQ40" s="1206"/>
      <c r="AR40" s="1206"/>
      <c r="AS40" s="1206"/>
      <c r="AT40" s="1206"/>
      <c r="AU40" s="1206"/>
      <c r="AV40" s="1207"/>
    </row>
    <row r="41" spans="1:48" ht="30" hidden="1" customHeight="1">
      <c r="A41" s="201" t="s">
        <v>55</v>
      </c>
      <c r="B41" s="201" t="s">
        <v>56</v>
      </c>
      <c r="C41" s="202" t="s">
        <v>100</v>
      </c>
      <c r="D41" s="203"/>
      <c r="E41" s="203"/>
      <c r="F41" s="203"/>
      <c r="G41" s="1208" t="s">
        <v>58</v>
      </c>
      <c r="H41" s="1209"/>
      <c r="I41" s="1209"/>
      <c r="J41" s="1209"/>
      <c r="K41" s="1210"/>
      <c r="L41" s="259"/>
      <c r="M41" s="1208" t="s">
        <v>59</v>
      </c>
      <c r="N41" s="1209"/>
      <c r="O41" s="1209"/>
      <c r="P41" s="1209"/>
      <c r="Q41" s="1210"/>
      <c r="R41" s="259"/>
      <c r="S41" s="306" t="s">
        <v>60</v>
      </c>
      <c r="T41" s="307" t="s">
        <v>61</v>
      </c>
      <c r="U41" s="307" t="s">
        <v>62</v>
      </c>
      <c r="V41" s="307" t="s">
        <v>63</v>
      </c>
      <c r="W41" s="307" t="s">
        <v>64</v>
      </c>
      <c r="X41" s="307" t="s">
        <v>65</v>
      </c>
      <c r="Y41" s="307" t="s">
        <v>66</v>
      </c>
      <c r="Z41" s="307" t="s">
        <v>67</v>
      </c>
      <c r="AA41" s="307" t="s">
        <v>68</v>
      </c>
      <c r="AB41" s="307" t="s">
        <v>69</v>
      </c>
      <c r="AC41" s="307" t="s">
        <v>70</v>
      </c>
      <c r="AD41" s="307" t="s">
        <v>71</v>
      </c>
      <c r="AE41" s="307" t="s">
        <v>72</v>
      </c>
      <c r="AF41" s="307" t="s">
        <v>73</v>
      </c>
      <c r="AG41" s="307" t="s">
        <v>74</v>
      </c>
      <c r="AH41" s="307" t="s">
        <v>75</v>
      </c>
      <c r="AI41" s="307" t="s">
        <v>76</v>
      </c>
      <c r="AJ41" s="307" t="s">
        <v>77</v>
      </c>
      <c r="AK41" s="307" t="s">
        <v>78</v>
      </c>
      <c r="AL41" s="307" t="s">
        <v>79</v>
      </c>
      <c r="AM41" s="347" t="s">
        <v>80</v>
      </c>
      <c r="AN41" s="307" t="s">
        <v>81</v>
      </c>
      <c r="AO41" s="307" t="s">
        <v>82</v>
      </c>
      <c r="AP41" s="307" t="s">
        <v>83</v>
      </c>
      <c r="AQ41" s="307" t="s">
        <v>84</v>
      </c>
      <c r="AR41" s="307" t="s">
        <v>85</v>
      </c>
      <c r="AS41" s="358" t="s">
        <v>86</v>
      </c>
      <c r="AT41" s="307" t="s">
        <v>87</v>
      </c>
      <c r="AU41" s="307" t="s">
        <v>88</v>
      </c>
      <c r="AV41" s="360" t="s">
        <v>89</v>
      </c>
    </row>
    <row r="42" spans="1:48" ht="30" hidden="1" customHeight="1">
      <c r="A42" s="1202" t="s">
        <v>90</v>
      </c>
      <c r="B42" s="1203"/>
      <c r="C42" s="1203"/>
      <c r="D42" s="1203"/>
      <c r="E42" s="1204"/>
      <c r="F42" s="203"/>
      <c r="G42" s="260" t="s">
        <v>91</v>
      </c>
      <c r="H42" s="261" t="s">
        <v>92</v>
      </c>
      <c r="I42" s="261" t="s">
        <v>93</v>
      </c>
      <c r="J42" s="261" t="s">
        <v>94</v>
      </c>
      <c r="K42" s="262" t="s">
        <v>95</v>
      </c>
      <c r="L42" s="259"/>
      <c r="M42" s="204" t="s">
        <v>91</v>
      </c>
      <c r="N42" s="205" t="s">
        <v>92</v>
      </c>
      <c r="O42" s="205" t="s">
        <v>93</v>
      </c>
      <c r="P42" s="205" t="s">
        <v>96</v>
      </c>
      <c r="Q42" s="308" t="s">
        <v>95</v>
      </c>
      <c r="R42" s="259"/>
      <c r="S42" s="309" t="s">
        <v>405</v>
      </c>
      <c r="T42" s="310" t="s">
        <v>98</v>
      </c>
      <c r="U42" s="310">
        <v>80</v>
      </c>
      <c r="V42" s="333">
        <v>80</v>
      </c>
      <c r="W42" s="334">
        <v>1</v>
      </c>
      <c r="X42" s="333">
        <v>16</v>
      </c>
      <c r="Y42" s="334">
        <v>128</v>
      </c>
      <c r="Z42" s="334">
        <v>4</v>
      </c>
      <c r="AA42" s="310">
        <v>5376</v>
      </c>
      <c r="AB42" s="310">
        <v>1</v>
      </c>
      <c r="AC42" s="310">
        <v>5376</v>
      </c>
      <c r="AD42" s="310">
        <v>5184</v>
      </c>
      <c r="AE42" s="333">
        <f>ROUNDUP((6*AF42/V42)*1000,0)+ROUNDUP(3*$J$43,0)</f>
        <v>23250</v>
      </c>
      <c r="AF42" s="348">
        <f>IF(D45=8,124,248)</f>
        <v>124</v>
      </c>
      <c r="AG42" s="348">
        <v>3</v>
      </c>
      <c r="AH42" s="348">
        <v>3</v>
      </c>
      <c r="AI42" s="348">
        <v>636</v>
      </c>
      <c r="AJ42" s="348">
        <v>6</v>
      </c>
      <c r="AK42" s="348">
        <v>14</v>
      </c>
      <c r="AL42" s="310">
        <v>1</v>
      </c>
      <c r="AM42" s="350" t="s">
        <v>99</v>
      </c>
      <c r="AN42" s="333">
        <v>20000</v>
      </c>
      <c r="AO42" s="348">
        <v>5120</v>
      </c>
      <c r="AP42" s="348">
        <v>5120</v>
      </c>
      <c r="AQ42" s="310">
        <v>42</v>
      </c>
      <c r="AR42" s="310">
        <v>1</v>
      </c>
      <c r="AS42" s="361">
        <v>156.25</v>
      </c>
      <c r="AT42" s="310">
        <v>1</v>
      </c>
      <c r="AU42" s="310" t="s">
        <v>100</v>
      </c>
      <c r="AV42" s="363">
        <v>0</v>
      </c>
    </row>
    <row r="43" spans="1:48" ht="30" hidden="1" customHeight="1">
      <c r="A43" s="204" t="s">
        <v>91</v>
      </c>
      <c r="B43" s="205" t="s">
        <v>92</v>
      </c>
      <c r="C43" s="205" t="s">
        <v>101</v>
      </c>
      <c r="D43" s="205" t="s">
        <v>102</v>
      </c>
      <c r="E43" s="206" t="s">
        <v>95</v>
      </c>
      <c r="F43" s="203"/>
      <c r="G43" s="211" t="s">
        <v>103</v>
      </c>
      <c r="H43" s="212" t="s">
        <v>104</v>
      </c>
      <c r="I43" s="251" t="s">
        <v>105</v>
      </c>
      <c r="J43" s="263">
        <f>ROUNDUP(1000*P46*P44/P43,0)</f>
        <v>4650</v>
      </c>
      <c r="K43" s="211" t="s">
        <v>106</v>
      </c>
      <c r="L43" s="259"/>
      <c r="M43" s="211" t="s">
        <v>107</v>
      </c>
      <c r="N43" s="212" t="s">
        <v>108</v>
      </c>
      <c r="O43" s="212" t="s">
        <v>109</v>
      </c>
      <c r="P43" s="311">
        <f>VLOOKUP($C$40,$S$42:$AU$59,4,FALSE)</f>
        <v>80</v>
      </c>
      <c r="Q43" s="312" t="s">
        <v>110</v>
      </c>
      <c r="R43" s="259"/>
      <c r="S43" s="396" t="s">
        <v>406</v>
      </c>
      <c r="T43" s="268" t="s">
        <v>407</v>
      </c>
      <c r="U43" s="268">
        <v>80</v>
      </c>
      <c r="V43" s="268">
        <v>80</v>
      </c>
      <c r="W43" s="316">
        <v>1</v>
      </c>
      <c r="X43" s="316">
        <v>20</v>
      </c>
      <c r="Y43" s="316">
        <v>100</v>
      </c>
      <c r="Z43" s="316">
        <v>4</v>
      </c>
      <c r="AA43" s="268">
        <v>2800</v>
      </c>
      <c r="AB43" s="268">
        <v>1</v>
      </c>
      <c r="AC43" s="268">
        <v>2800</v>
      </c>
      <c r="AD43" s="268">
        <v>2224</v>
      </c>
      <c r="AE43" s="399">
        <f>ROUNDUP(AF43*1000/V43,0)+ROUNDUP(9*AG43*AF43*1000/V43,0)</f>
        <v>22000</v>
      </c>
      <c r="AF43" s="397">
        <f>IF(D45=8,176,352)</f>
        <v>176</v>
      </c>
      <c r="AG43" s="397">
        <v>1</v>
      </c>
      <c r="AH43" s="398">
        <v>3</v>
      </c>
      <c r="AI43" s="397">
        <v>119</v>
      </c>
      <c r="AJ43" s="397">
        <v>6</v>
      </c>
      <c r="AK43" s="398">
        <v>14</v>
      </c>
      <c r="AL43" s="399">
        <v>1</v>
      </c>
      <c r="AM43" s="567" t="s">
        <v>99</v>
      </c>
      <c r="AN43" s="399">
        <v>10000</v>
      </c>
      <c r="AO43" s="397">
        <v>2592</v>
      </c>
      <c r="AP43" s="397">
        <v>2160</v>
      </c>
      <c r="AQ43" s="399">
        <v>200</v>
      </c>
      <c r="AR43" s="268">
        <v>1</v>
      </c>
      <c r="AS43" s="568">
        <v>156.25</v>
      </c>
      <c r="AT43" s="399">
        <v>1</v>
      </c>
      <c r="AU43" s="399" t="s">
        <v>100</v>
      </c>
      <c r="AV43" s="402">
        <v>0</v>
      </c>
    </row>
    <row r="44" spans="1:48" ht="115.5" hidden="1" customHeight="1">
      <c r="A44" s="1208" t="s">
        <v>113</v>
      </c>
      <c r="B44" s="1209"/>
      <c r="C44" s="1209"/>
      <c r="D44" s="1209"/>
      <c r="E44" s="1210"/>
      <c r="F44" s="203"/>
      <c r="G44" s="264" t="s">
        <v>114</v>
      </c>
      <c r="H44" s="227" t="s">
        <v>115</v>
      </c>
      <c r="I44" s="220" t="s">
        <v>116</v>
      </c>
      <c r="J44" s="265">
        <f>IF(D53=0,MAX(J47,J48,J49,J50)+J55,IF(D47="TriggerWidth",MAX(J47,J49,J68),IF(D54=0,MAX(J47,J48,J49)+J55,MAX(J47,J48,J49,J50)+J55)))</f>
        <v>23906</v>
      </c>
      <c r="K44" s="264" t="s">
        <v>117</v>
      </c>
      <c r="M44" s="264" t="s">
        <v>118</v>
      </c>
      <c r="N44" s="227" t="s">
        <v>118</v>
      </c>
      <c r="O44" s="227" t="s">
        <v>109</v>
      </c>
      <c r="P44" s="321">
        <f>VLOOKUP($C$40,$S$42:$AU$59,14,FALSE)</f>
        <v>124</v>
      </c>
      <c r="Q44" s="317" t="s">
        <v>119</v>
      </c>
      <c r="S44" s="396" t="s">
        <v>408</v>
      </c>
      <c r="T44" s="268" t="s">
        <v>409</v>
      </c>
      <c r="U44" s="268">
        <v>80</v>
      </c>
      <c r="V44" s="268">
        <v>80</v>
      </c>
      <c r="W44" s="316">
        <v>1</v>
      </c>
      <c r="X44" s="316">
        <v>16</v>
      </c>
      <c r="Y44" s="316">
        <v>140</v>
      </c>
      <c r="Z44" s="316">
        <v>4</v>
      </c>
      <c r="AA44" s="268">
        <v>4480</v>
      </c>
      <c r="AB44" s="268">
        <v>1</v>
      </c>
      <c r="AC44" s="268">
        <v>4480</v>
      </c>
      <c r="AD44" s="268">
        <v>2224</v>
      </c>
      <c r="AE44" s="399">
        <f>ROUNDUP(AF44*1000/V44,0)+ROUNDUP(9*AG44*AF44*1000/V44,0)</f>
        <v>36100</v>
      </c>
      <c r="AF44" s="397">
        <f>IF(D45=8,152,304)</f>
        <v>152</v>
      </c>
      <c r="AG44" s="397">
        <v>2</v>
      </c>
      <c r="AH44" s="398">
        <v>3</v>
      </c>
      <c r="AI44" s="397">
        <v>119</v>
      </c>
      <c r="AJ44" s="397">
        <v>6</v>
      </c>
      <c r="AK44" s="398">
        <v>14</v>
      </c>
      <c r="AL44" s="399">
        <v>1</v>
      </c>
      <c r="AM44" s="567" t="s">
        <v>99</v>
      </c>
      <c r="AN44" s="399">
        <v>10000</v>
      </c>
      <c r="AO44" s="397">
        <v>4192</v>
      </c>
      <c r="AP44" s="397">
        <v>2160</v>
      </c>
      <c r="AQ44" s="399">
        <v>117</v>
      </c>
      <c r="AR44" s="268">
        <v>1</v>
      </c>
      <c r="AS44" s="568">
        <v>156.25</v>
      </c>
      <c r="AT44" s="399">
        <v>1</v>
      </c>
      <c r="AU44" s="399" t="s">
        <v>100</v>
      </c>
      <c r="AV44" s="402">
        <v>0</v>
      </c>
    </row>
    <row r="45" spans="1:48" ht="30" hidden="1" customHeight="1">
      <c r="A45" s="207" t="s">
        <v>121</v>
      </c>
      <c r="B45" s="208" t="s">
        <v>113</v>
      </c>
      <c r="C45" s="208">
        <v>8</v>
      </c>
      <c r="D45" s="209">
        <f>B10</f>
        <v>8</v>
      </c>
      <c r="E45" s="210" t="s">
        <v>122</v>
      </c>
      <c r="F45" s="203"/>
      <c r="G45" s="216" t="s">
        <v>123</v>
      </c>
      <c r="H45" s="217" t="s">
        <v>58</v>
      </c>
      <c r="I45" s="225" t="s">
        <v>124</v>
      </c>
      <c r="J45" s="266">
        <f>1000000/J44</f>
        <v>41.830502802643686</v>
      </c>
      <c r="K45" s="216" t="s">
        <v>125</v>
      </c>
      <c r="M45" s="264" t="s">
        <v>126</v>
      </c>
      <c r="N45" s="227" t="s">
        <v>127</v>
      </c>
      <c r="O45" s="227" t="s">
        <v>109</v>
      </c>
      <c r="P45" s="321">
        <f>VLOOKUP($C$40,$S$42:$AU$59,13,FALSE)</f>
        <v>23250</v>
      </c>
      <c r="Q45" s="317" t="s">
        <v>106</v>
      </c>
      <c r="S45" s="318" t="s">
        <v>410</v>
      </c>
      <c r="T45" s="319" t="s">
        <v>411</v>
      </c>
      <c r="U45" s="319">
        <v>80</v>
      </c>
      <c r="V45" s="319">
        <v>80</v>
      </c>
      <c r="W45" s="335">
        <v>1</v>
      </c>
      <c r="X45" s="335">
        <v>16</v>
      </c>
      <c r="Y45" s="335">
        <v>114</v>
      </c>
      <c r="Z45" s="335">
        <v>6</v>
      </c>
      <c r="AA45" s="319">
        <v>4736</v>
      </c>
      <c r="AB45" s="319">
        <v>1</v>
      </c>
      <c r="AC45" s="319">
        <v>4736</v>
      </c>
      <c r="AD45" s="319">
        <v>4162</v>
      </c>
      <c r="AE45" s="399">
        <f>ROUNDUP(7*AF45*1000/V45,0)+ROUNDUP(10*AG45*AF45*1000/V45,0)</f>
        <v>51300</v>
      </c>
      <c r="AF45" s="357">
        <f>IF(D45=8,152,304)</f>
        <v>152</v>
      </c>
      <c r="AG45" s="357">
        <v>2</v>
      </c>
      <c r="AH45" s="357">
        <v>3</v>
      </c>
      <c r="AI45" s="357">
        <v>636</v>
      </c>
      <c r="AJ45" s="357">
        <v>6</v>
      </c>
      <c r="AK45" s="357">
        <v>14</v>
      </c>
      <c r="AL45" s="319">
        <v>1</v>
      </c>
      <c r="AM45" s="319" t="s">
        <v>99</v>
      </c>
      <c r="AN45" s="319">
        <v>10000</v>
      </c>
      <c r="AO45" s="357">
        <v>4496</v>
      </c>
      <c r="AP45" s="357">
        <v>4096</v>
      </c>
      <c r="AQ45" s="319">
        <v>61</v>
      </c>
      <c r="AR45" s="319">
        <v>1</v>
      </c>
      <c r="AS45" s="371">
        <v>156.25</v>
      </c>
      <c r="AT45" s="319">
        <v>1</v>
      </c>
      <c r="AU45" s="319" t="s">
        <v>100</v>
      </c>
      <c r="AV45" s="373">
        <v>0</v>
      </c>
    </row>
    <row r="46" spans="1:48" ht="30" hidden="1" customHeight="1">
      <c r="A46" s="1208" t="s">
        <v>128</v>
      </c>
      <c r="B46" s="1209"/>
      <c r="C46" s="1209"/>
      <c r="D46" s="1209"/>
      <c r="E46" s="1210"/>
      <c r="F46" s="203"/>
      <c r="G46" s="1208" t="s">
        <v>129</v>
      </c>
      <c r="H46" s="1209"/>
      <c r="I46" s="1209"/>
      <c r="J46" s="1209"/>
      <c r="K46" s="1210"/>
      <c r="M46" s="264" t="s">
        <v>130</v>
      </c>
      <c r="N46" s="227" t="s">
        <v>131</v>
      </c>
      <c r="O46" s="227" t="s">
        <v>109</v>
      </c>
      <c r="P46" s="321">
        <f>VLOOKUP($C$40,$S$42:$AU$59,15,FALSE)</f>
        <v>3</v>
      </c>
      <c r="Q46" s="317" t="s">
        <v>122</v>
      </c>
      <c r="S46" s="259"/>
      <c r="T46" s="259"/>
      <c r="U46" s="259"/>
      <c r="V46" s="259"/>
      <c r="W46" s="259"/>
      <c r="X46" s="259"/>
      <c r="Y46" s="259"/>
      <c r="Z46" s="259"/>
    </row>
    <row r="47" spans="1:48" ht="30" hidden="1" customHeight="1">
      <c r="A47" s="211" t="s">
        <v>132</v>
      </c>
      <c r="B47" s="212" t="s">
        <v>133</v>
      </c>
      <c r="C47" s="212" t="s">
        <v>134</v>
      </c>
      <c r="D47" s="213" t="s">
        <v>134</v>
      </c>
      <c r="E47" s="214"/>
      <c r="F47" s="203"/>
      <c r="G47" s="211" t="s">
        <v>135</v>
      </c>
      <c r="H47" s="212" t="s">
        <v>136</v>
      </c>
      <c r="I47" s="251" t="s">
        <v>137</v>
      </c>
      <c r="J47" s="263">
        <f>ROUNDUP(((D61*D79+P47+P52+P54)*J43+P45)/1000,0)</f>
        <v>23906</v>
      </c>
      <c r="K47" s="267" t="s">
        <v>117</v>
      </c>
      <c r="M47" s="264" t="s">
        <v>138</v>
      </c>
      <c r="N47" s="227" t="s">
        <v>139</v>
      </c>
      <c r="O47" s="227" t="s">
        <v>109</v>
      </c>
      <c r="P47" s="321">
        <f>VLOOKUP($C$40,$S$42:$AU$59,19,FALSE)</f>
        <v>14</v>
      </c>
      <c r="Q47" s="317" t="s">
        <v>140</v>
      </c>
      <c r="S47" s="259"/>
      <c r="T47" s="259"/>
      <c r="U47" s="259"/>
      <c r="V47" s="259"/>
      <c r="W47" s="259"/>
      <c r="X47" s="259"/>
      <c r="Y47" s="259"/>
      <c r="Z47" s="259"/>
    </row>
    <row r="48" spans="1:48" ht="55.5" hidden="1" customHeight="1">
      <c r="A48" s="211" t="s">
        <v>141</v>
      </c>
      <c r="B48" s="212" t="s">
        <v>128</v>
      </c>
      <c r="C48" s="212">
        <f>VLOOKUP($C$40,$S$42:$AU$59,22,FALSE)</f>
        <v>20000</v>
      </c>
      <c r="D48" s="215">
        <f>B9</f>
        <v>20000</v>
      </c>
      <c r="E48" s="214" t="s">
        <v>117</v>
      </c>
      <c r="F48" s="203"/>
      <c r="G48" s="264" t="s">
        <v>142</v>
      </c>
      <c r="H48" s="227" t="s">
        <v>143</v>
      </c>
      <c r="I48" s="268" t="s">
        <v>412</v>
      </c>
      <c r="J48" s="269">
        <f>ROUNDUP(D48-P49/P43+P48*J43/1000+P45/1000,0)+IF(D65=0,0,P53)+IF(D65=1,0,D49)</f>
        <v>20030</v>
      </c>
      <c r="K48" s="564" t="s">
        <v>117</v>
      </c>
      <c r="M48" s="264" t="s">
        <v>145</v>
      </c>
      <c r="N48" s="227" t="s">
        <v>146</v>
      </c>
      <c r="O48" s="227" t="s">
        <v>109</v>
      </c>
      <c r="P48" s="321">
        <f>VLOOKUP($C$40,$S$42:$AU$59,16,FALSE)</f>
        <v>3</v>
      </c>
      <c r="Q48" s="317" t="s">
        <v>140</v>
      </c>
      <c r="S48" s="259"/>
      <c r="T48" s="259"/>
      <c r="U48" s="259"/>
      <c r="V48" s="259"/>
      <c r="W48" s="259"/>
      <c r="X48" s="259"/>
      <c r="Y48" s="259"/>
      <c r="Z48" s="259"/>
    </row>
    <row r="49" spans="1:26" ht="30" hidden="1" customHeight="1">
      <c r="A49" s="216" t="s">
        <v>147</v>
      </c>
      <c r="B49" s="217" t="s">
        <v>148</v>
      </c>
      <c r="C49" s="212">
        <v>0</v>
      </c>
      <c r="D49" s="218">
        <f>B19</f>
        <v>0</v>
      </c>
      <c r="E49" s="219" t="s">
        <v>117</v>
      </c>
      <c r="F49" s="203"/>
      <c r="G49" s="264" t="s">
        <v>149</v>
      </c>
      <c r="H49" s="227" t="s">
        <v>150</v>
      </c>
      <c r="I49" s="268" t="s">
        <v>413</v>
      </c>
      <c r="J49" s="269">
        <f>ROUNDUP((1000000/D73)*D72,0)</f>
        <v>0</v>
      </c>
      <c r="K49" s="317" t="s">
        <v>117</v>
      </c>
      <c r="M49" s="264" t="s">
        <v>152</v>
      </c>
      <c r="N49" s="227" t="s">
        <v>153</v>
      </c>
      <c r="O49" s="227" t="s">
        <v>109</v>
      </c>
      <c r="P49" s="321">
        <f>VLOOKUP($C$40,$S$42:$AU$59,17,FALSE)</f>
        <v>636</v>
      </c>
      <c r="Q49" s="317" t="s">
        <v>154</v>
      </c>
      <c r="S49" s="259"/>
      <c r="T49" s="259"/>
      <c r="U49" s="259"/>
      <c r="V49" s="259"/>
      <c r="W49" s="259"/>
      <c r="X49" s="259"/>
      <c r="Y49" s="320"/>
      <c r="Z49" s="259"/>
    </row>
    <row r="50" spans="1:26" ht="60" hidden="1" customHeight="1">
      <c r="A50" s="220" t="s">
        <v>155</v>
      </c>
      <c r="B50" s="221" t="str">
        <f>"交叠曝光时间 
范围:0"&amp;"-"&amp;ROUNDUP(((D61*D79+P47+P52+P54)*J43/1000),0)</f>
        <v>交叠曝光时间 
范围:0-23883</v>
      </c>
      <c r="C50" s="212">
        <f>ROUNDUP((C61+P47+P52+P54)*J43/1000,0)</f>
        <v>23883</v>
      </c>
      <c r="D50" s="222">
        <v>0</v>
      </c>
      <c r="E50" s="219" t="s">
        <v>117</v>
      </c>
      <c r="F50" s="203"/>
      <c r="G50" s="216" t="s">
        <v>156</v>
      </c>
      <c r="H50" s="225" t="s">
        <v>157</v>
      </c>
      <c r="I50" s="225" t="s">
        <v>158</v>
      </c>
      <c r="J50" s="270">
        <f>P85</f>
        <v>23540</v>
      </c>
      <c r="K50" s="324" t="s">
        <v>117</v>
      </c>
      <c r="M50" s="264" t="s">
        <v>159</v>
      </c>
      <c r="N50" s="227" t="s">
        <v>160</v>
      </c>
      <c r="O50" s="227" t="s">
        <v>109</v>
      </c>
      <c r="P50" s="321">
        <f>VLOOKUP($C$40,$S$42:$AU$59,18,FALSE)</f>
        <v>6</v>
      </c>
      <c r="Q50" s="317" t="s">
        <v>140</v>
      </c>
      <c r="S50" s="259" t="s">
        <v>414</v>
      </c>
      <c r="T50" s="259">
        <f>C60*8/J43</f>
        <v>8.8086021505376344</v>
      </c>
      <c r="U50" s="259"/>
      <c r="V50" s="259"/>
      <c r="W50" s="259"/>
      <c r="X50" s="259"/>
      <c r="Y50" s="320"/>
      <c r="Z50" s="259"/>
    </row>
    <row r="51" spans="1:26" ht="87.75" hidden="1" customHeight="1">
      <c r="A51" s="223" t="s">
        <v>161</v>
      </c>
      <c r="B51" s="224" t="s">
        <v>162</v>
      </c>
      <c r="C51" s="225" t="s">
        <v>163</v>
      </c>
      <c r="D51" s="226">
        <v>0</v>
      </c>
      <c r="E51" s="219" t="s">
        <v>117</v>
      </c>
      <c r="F51" s="203"/>
      <c r="G51" s="1208" t="s">
        <v>164</v>
      </c>
      <c r="H51" s="1209"/>
      <c r="I51" s="1209"/>
      <c r="J51" s="1209"/>
      <c r="K51" s="1210"/>
      <c r="M51" s="264" t="s">
        <v>165</v>
      </c>
      <c r="N51" s="227" t="s">
        <v>166</v>
      </c>
      <c r="O51" s="227" t="s">
        <v>109</v>
      </c>
      <c r="P51" s="321">
        <f>VLOOKUP($C$40,$S$42:$AU$59,26,FALSE)</f>
        <v>1</v>
      </c>
      <c r="Q51" s="918" t="s">
        <v>122</v>
      </c>
      <c r="S51" s="259" t="s">
        <v>415</v>
      </c>
      <c r="T51" s="320">
        <f>U51-T52</f>
        <v>10.104574918430517</v>
      </c>
      <c r="U51" s="259">
        <f>25.6*0.74</f>
        <v>18.943999999999999</v>
      </c>
      <c r="V51" s="259"/>
      <c r="W51" s="259"/>
      <c r="X51" s="259"/>
      <c r="Y51" s="320"/>
      <c r="Z51" s="259"/>
    </row>
    <row r="52" spans="1:26" ht="87.75" hidden="1" customHeight="1">
      <c r="A52" s="1211" t="s">
        <v>167</v>
      </c>
      <c r="B52" s="1212"/>
      <c r="C52" s="1212"/>
      <c r="D52" s="1212"/>
      <c r="E52" s="1213"/>
      <c r="F52" s="203"/>
      <c r="G52" s="250" t="s">
        <v>141</v>
      </c>
      <c r="H52" s="251" t="s">
        <v>168</v>
      </c>
      <c r="I52" s="251" t="s">
        <v>169</v>
      </c>
      <c r="J52" s="263">
        <f>IF((D53=1)*(D47="TriggerWidth"),MAX(D50,D51),ROUNDUP((1000*D48-1000*P49/P43)/1000,0))</f>
        <v>19993</v>
      </c>
      <c r="K52" s="267" t="s">
        <v>117</v>
      </c>
      <c r="M52" s="264" t="s">
        <v>170</v>
      </c>
      <c r="N52" s="227" t="s">
        <v>171</v>
      </c>
      <c r="O52" s="217" t="s">
        <v>109</v>
      </c>
      <c r="P52" s="321">
        <f>VLOOKUP($C$40,$S$42:$AU$59,20,FALSE)</f>
        <v>1</v>
      </c>
      <c r="Q52" s="317" t="s">
        <v>140</v>
      </c>
      <c r="S52" s="259" t="s">
        <v>416</v>
      </c>
      <c r="T52" s="259">
        <f>J58*8/1000/1000/1000</f>
        <v>8.8394250815694821</v>
      </c>
      <c r="U52" s="259"/>
      <c r="V52" s="259"/>
      <c r="W52" s="259"/>
      <c r="X52" s="259"/>
      <c r="Y52" s="320"/>
      <c r="Z52" s="259"/>
    </row>
    <row r="53" spans="1:26" ht="87.75" hidden="1" customHeight="1">
      <c r="A53" s="227" t="s">
        <v>172</v>
      </c>
      <c r="B53" s="227" t="s">
        <v>167</v>
      </c>
      <c r="C53" s="227">
        <v>0</v>
      </c>
      <c r="D53" s="228">
        <f>B20</f>
        <v>0</v>
      </c>
      <c r="E53" s="229"/>
      <c r="F53" s="203"/>
      <c r="G53" s="235" t="s">
        <v>173</v>
      </c>
      <c r="H53" s="220" t="s">
        <v>174</v>
      </c>
      <c r="I53" s="220" t="s">
        <v>175</v>
      </c>
      <c r="J53" s="265">
        <f>D49</f>
        <v>0</v>
      </c>
      <c r="K53" s="273" t="s">
        <v>117</v>
      </c>
      <c r="M53" s="264" t="s">
        <v>176</v>
      </c>
      <c r="N53" s="227" t="s">
        <v>177</v>
      </c>
      <c r="O53" s="227" t="s">
        <v>109</v>
      </c>
      <c r="P53" s="321">
        <f>VLOOKUP($C$40,$S$42:$AV$59,30,FALSE)</f>
        <v>0</v>
      </c>
      <c r="Q53" s="317" t="s">
        <v>117</v>
      </c>
      <c r="S53" s="259" t="s">
        <v>417</v>
      </c>
      <c r="T53" s="259">
        <f>T51-T50</f>
        <v>1.2959727678928825</v>
      </c>
      <c r="U53" s="259" t="s">
        <v>418</v>
      </c>
      <c r="V53" s="259"/>
      <c r="W53" s="259"/>
      <c r="X53" s="259"/>
      <c r="Y53" s="320"/>
      <c r="Z53" s="259"/>
    </row>
    <row r="54" spans="1:26" ht="109.5" hidden="1" customHeight="1">
      <c r="A54" s="207" t="s">
        <v>178</v>
      </c>
      <c r="B54" s="208" t="s">
        <v>179</v>
      </c>
      <c r="C54" s="208">
        <v>0</v>
      </c>
      <c r="D54" s="230">
        <v>0</v>
      </c>
      <c r="E54" s="210"/>
      <c r="F54" s="203"/>
      <c r="G54" s="235" t="s">
        <v>180</v>
      </c>
      <c r="H54" s="220" t="s">
        <v>181</v>
      </c>
      <c r="I54" s="220" t="s">
        <v>182</v>
      </c>
      <c r="J54" s="265">
        <f>IF(P51=1,IF((D53=1)*(D47="TriggerWidth"),IF((D50&lt;=ROUNDUP(J43*6/1000,0))*(D50&gt;0),1,0),IF((MAX(J47,J48,J49,J50)-J52)&lt;J47,(IF((MAX(J47,J48,J49,J50)-J52)&gt;=(J47-ROUNDUP(6*J43/1000,0)),1,0)),0)),0)</f>
        <v>0</v>
      </c>
      <c r="K54" s="565" t="s">
        <v>122</v>
      </c>
      <c r="M54" s="276" t="s">
        <v>183</v>
      </c>
      <c r="N54" s="323" t="s">
        <v>184</v>
      </c>
      <c r="O54" s="323" t="s">
        <v>109</v>
      </c>
      <c r="P54" s="314">
        <f>VLOOKUP($C$40,$S$42:$AV$59,28,FALSE)</f>
        <v>1</v>
      </c>
      <c r="Q54" s="312" t="s">
        <v>140</v>
      </c>
      <c r="S54" s="259" t="s">
        <v>419</v>
      </c>
      <c r="T54" s="259">
        <f>T50-T52</f>
        <v>-3.0822931031847745E-2</v>
      </c>
      <c r="U54" s="259" t="s">
        <v>420</v>
      </c>
      <c r="V54" s="259"/>
      <c r="W54" s="259"/>
      <c r="X54" s="259"/>
      <c r="Y54" s="320"/>
      <c r="Z54" s="259"/>
    </row>
    <row r="55" spans="1:26" ht="111" hidden="1" customHeight="1">
      <c r="A55" s="1214" t="s">
        <v>185</v>
      </c>
      <c r="B55" s="1215"/>
      <c r="C55" s="1215"/>
      <c r="D55" s="1215"/>
      <c r="E55" s="1216"/>
      <c r="F55" s="203"/>
      <c r="G55" s="238" t="s">
        <v>186</v>
      </c>
      <c r="H55" s="225" t="s">
        <v>187</v>
      </c>
      <c r="I55" s="225" t="s">
        <v>188</v>
      </c>
      <c r="J55" s="277">
        <f>IF(J54=1,IF((D53=1)*(D47="TriggerWidth"),D50,J47-(MAX(J47,J48,J49,J50)-J52)),0)</f>
        <v>0</v>
      </c>
      <c r="K55" s="566" t="s">
        <v>117</v>
      </c>
      <c r="M55" s="1214" t="s">
        <v>189</v>
      </c>
      <c r="N55" s="1215"/>
      <c r="O55" s="1215"/>
      <c r="P55" s="1215"/>
      <c r="Q55" s="1216"/>
      <c r="S55" s="259"/>
      <c r="T55" s="259"/>
      <c r="U55" s="259"/>
      <c r="V55" s="259"/>
      <c r="W55" s="259"/>
      <c r="X55" s="259"/>
      <c r="Y55" s="320"/>
      <c r="Z55" s="259"/>
    </row>
    <row r="56" spans="1:26" ht="111" hidden="1" customHeight="1">
      <c r="A56" s="207" t="s">
        <v>190</v>
      </c>
      <c r="B56" s="208" t="s">
        <v>191</v>
      </c>
      <c r="C56" s="208">
        <v>0</v>
      </c>
      <c r="D56" s="209">
        <v>0</v>
      </c>
      <c r="E56" s="210" t="s">
        <v>117</v>
      </c>
      <c r="F56" s="203"/>
      <c r="G56" s="1214" t="s">
        <v>192</v>
      </c>
      <c r="H56" s="1215"/>
      <c r="I56" s="1215"/>
      <c r="J56" s="1215"/>
      <c r="K56" s="1216"/>
      <c r="M56" s="204" t="s">
        <v>91</v>
      </c>
      <c r="N56" s="205" t="s">
        <v>92</v>
      </c>
      <c r="O56" s="205" t="s">
        <v>93</v>
      </c>
      <c r="P56" s="205" t="s">
        <v>96</v>
      </c>
      <c r="Q56" s="308" t="s">
        <v>95</v>
      </c>
      <c r="S56" s="259"/>
      <c r="T56" s="259"/>
      <c r="U56" s="259"/>
      <c r="V56" s="259"/>
      <c r="W56" s="259"/>
      <c r="X56" s="259"/>
      <c r="Y56" s="336"/>
      <c r="Z56" s="336"/>
    </row>
    <row r="57" spans="1:26" ht="60.75" hidden="1" customHeight="1">
      <c r="A57" s="1214" t="s">
        <v>193</v>
      </c>
      <c r="B57" s="1215"/>
      <c r="C57" s="1215"/>
      <c r="D57" s="1215"/>
      <c r="E57" s="1216"/>
      <c r="F57" s="203"/>
      <c r="G57" s="250" t="s">
        <v>194</v>
      </c>
      <c r="H57" s="251" t="s">
        <v>195</v>
      </c>
      <c r="I57" s="251" t="s">
        <v>196</v>
      </c>
      <c r="J57" s="263">
        <f>J45*P74</f>
        <v>1096561532.6696227</v>
      </c>
      <c r="K57" s="279" t="s">
        <v>197</v>
      </c>
      <c r="M57" s="211" t="s">
        <v>198</v>
      </c>
      <c r="N57" s="212" t="s">
        <v>199</v>
      </c>
      <c r="O57" s="212" t="s">
        <v>200</v>
      </c>
      <c r="P57" s="311">
        <v>7</v>
      </c>
      <c r="Q57" s="312" t="s">
        <v>201</v>
      </c>
      <c r="S57" s="259"/>
      <c r="T57" s="259"/>
      <c r="U57" s="259"/>
      <c r="V57" s="259"/>
      <c r="W57" s="259"/>
      <c r="X57" s="259"/>
      <c r="Y57" s="336"/>
      <c r="Z57" s="336"/>
    </row>
    <row r="58" spans="1:26" ht="30" hidden="1" customHeight="1">
      <c r="A58" s="211" t="s">
        <v>202</v>
      </c>
      <c r="B58" s="212" t="s">
        <v>203</v>
      </c>
      <c r="C58" s="212">
        <v>0</v>
      </c>
      <c r="D58" s="215">
        <v>0</v>
      </c>
      <c r="E58" s="234" t="s">
        <v>119</v>
      </c>
      <c r="F58" s="203"/>
      <c r="G58" s="280" t="s">
        <v>204</v>
      </c>
      <c r="H58" s="281" t="s">
        <v>205</v>
      </c>
      <c r="I58" s="220" t="s">
        <v>206</v>
      </c>
      <c r="J58" s="265">
        <f>J45*P81</f>
        <v>1104928135.1961851</v>
      </c>
      <c r="K58" s="282" t="s">
        <v>197</v>
      </c>
      <c r="M58" s="264" t="s">
        <v>207</v>
      </c>
      <c r="N58" s="227" t="s">
        <v>208</v>
      </c>
      <c r="O58" s="227" t="s">
        <v>209</v>
      </c>
      <c r="P58" s="321">
        <v>1</v>
      </c>
      <c r="Q58" s="317" t="s">
        <v>201</v>
      </c>
      <c r="S58" s="259"/>
      <c r="T58" s="259"/>
      <c r="U58" s="259"/>
      <c r="V58" s="259"/>
      <c r="W58" s="259"/>
      <c r="X58" s="259"/>
      <c r="Y58" s="336"/>
      <c r="Z58" s="336"/>
    </row>
    <row r="59" spans="1:26" ht="30" hidden="1" customHeight="1">
      <c r="A59" s="235" t="s">
        <v>210</v>
      </c>
      <c r="B59" s="220" t="s">
        <v>211</v>
      </c>
      <c r="C59" s="220">
        <v>0</v>
      </c>
      <c r="D59" s="236">
        <v>0</v>
      </c>
      <c r="E59" s="237" t="s">
        <v>119</v>
      </c>
      <c r="F59" s="203"/>
      <c r="G59" s="283" t="s">
        <v>212</v>
      </c>
      <c r="H59" s="284" t="s">
        <v>213</v>
      </c>
      <c r="I59" s="225" t="s">
        <v>214</v>
      </c>
      <c r="J59" s="277">
        <f>1250*D67*(100-D70)</f>
        <v>1125000000</v>
      </c>
      <c r="K59" s="285" t="s">
        <v>197</v>
      </c>
      <c r="M59" s="264" t="s">
        <v>215</v>
      </c>
      <c r="N59" s="227" t="s">
        <v>216</v>
      </c>
      <c r="O59" s="227" t="s">
        <v>217</v>
      </c>
      <c r="P59" s="321">
        <v>14</v>
      </c>
      <c r="Q59" s="317" t="s">
        <v>201</v>
      </c>
    </row>
    <row r="60" spans="1:26" ht="30" hidden="1" customHeight="1">
      <c r="A60" s="235" t="s">
        <v>218</v>
      </c>
      <c r="B60" s="220" t="s">
        <v>19</v>
      </c>
      <c r="C60" s="220">
        <f>VLOOKUP($C$40,$S$42:$AU$59,23,FALSE)</f>
        <v>5120</v>
      </c>
      <c r="D60" s="236">
        <f>B4</f>
        <v>5120</v>
      </c>
      <c r="E60" s="237" t="s">
        <v>119</v>
      </c>
      <c r="F60" s="203"/>
      <c r="G60" s="1214" t="s">
        <v>219</v>
      </c>
      <c r="H60" s="1215"/>
      <c r="I60" s="1215"/>
      <c r="J60" s="1215"/>
      <c r="K60" s="1216"/>
      <c r="M60" s="264" t="s">
        <v>220</v>
      </c>
      <c r="N60" s="227" t="s">
        <v>221</v>
      </c>
      <c r="O60" s="227" t="s">
        <v>222</v>
      </c>
      <c r="P60" s="321">
        <v>20</v>
      </c>
      <c r="Q60" s="317" t="s">
        <v>201</v>
      </c>
      <c r="R60" s="259"/>
    </row>
    <row r="61" spans="1:26" ht="70.5" hidden="1" customHeight="1">
      <c r="A61" s="238" t="s">
        <v>223</v>
      </c>
      <c r="B61" s="225" t="s">
        <v>20</v>
      </c>
      <c r="C61" s="225">
        <f>VLOOKUP($C$40,$S$42:$AU$59,24,FALSE)</f>
        <v>5120</v>
      </c>
      <c r="D61" s="239">
        <f>B5</f>
        <v>5120</v>
      </c>
      <c r="E61" s="219" t="s">
        <v>119</v>
      </c>
      <c r="F61" s="203"/>
      <c r="G61" s="286" t="s">
        <v>224</v>
      </c>
      <c r="H61" s="287" t="s">
        <v>225</v>
      </c>
      <c r="I61" s="251" t="s">
        <v>226</v>
      </c>
      <c r="J61" s="263">
        <f>IF(D67=10000,0,IF(D67=5000,1,IF(D67=2500,2,IF(D67=1000,3,3))))</f>
        <v>0</v>
      </c>
      <c r="K61" s="279" t="s">
        <v>163</v>
      </c>
      <c r="M61" s="264" t="s">
        <v>227</v>
      </c>
      <c r="N61" s="227" t="s">
        <v>228</v>
      </c>
      <c r="O61" s="227" t="s">
        <v>229</v>
      </c>
      <c r="P61" s="321">
        <v>8</v>
      </c>
      <c r="Q61" s="317" t="s">
        <v>201</v>
      </c>
      <c r="R61" s="259"/>
    </row>
    <row r="62" spans="1:26" ht="45" hidden="1" customHeight="1">
      <c r="A62" s="1214" t="s">
        <v>230</v>
      </c>
      <c r="B62" s="1215"/>
      <c r="C62" s="1215"/>
      <c r="D62" s="1215"/>
      <c r="E62" s="1216"/>
      <c r="F62" s="203"/>
      <c r="G62" s="288" t="s">
        <v>231</v>
      </c>
      <c r="H62" s="289" t="s">
        <v>232</v>
      </c>
      <c r="I62" s="223" t="s">
        <v>233</v>
      </c>
      <c r="J62" s="290">
        <f>ROUNDUP(D69*VLOOKUP($C$40,$S$42:$AU$45,27,FALSE)/1000,0)</f>
        <v>0</v>
      </c>
      <c r="K62" s="291" t="s">
        <v>154</v>
      </c>
      <c r="M62" s="264" t="s">
        <v>234</v>
      </c>
      <c r="N62" s="227" t="s">
        <v>235</v>
      </c>
      <c r="O62" s="227" t="s">
        <v>229</v>
      </c>
      <c r="P62" s="321">
        <v>8</v>
      </c>
      <c r="Q62" s="317" t="s">
        <v>201</v>
      </c>
      <c r="R62" s="259"/>
    </row>
    <row r="63" spans="1:26" ht="45.75" hidden="1" customHeight="1">
      <c r="A63" s="240" t="s">
        <v>236</v>
      </c>
      <c r="B63" s="241" t="s">
        <v>237</v>
      </c>
      <c r="C63" s="242">
        <v>0</v>
      </c>
      <c r="D63" s="243">
        <v>0</v>
      </c>
      <c r="E63" s="244" t="s">
        <v>122</v>
      </c>
      <c r="F63" s="203"/>
      <c r="G63" s="1214" t="s">
        <v>238</v>
      </c>
      <c r="H63" s="1215"/>
      <c r="I63" s="1215"/>
      <c r="J63" s="1215"/>
      <c r="K63" s="1216"/>
      <c r="M63" s="264" t="s">
        <v>239</v>
      </c>
      <c r="N63" s="227" t="s">
        <v>240</v>
      </c>
      <c r="O63" s="227" t="s">
        <v>241</v>
      </c>
      <c r="P63" s="321">
        <v>4</v>
      </c>
      <c r="Q63" s="317" t="s">
        <v>201</v>
      </c>
    </row>
    <row r="64" spans="1:26" ht="48" hidden="1" customHeight="1">
      <c r="A64" s="1214" t="s">
        <v>242</v>
      </c>
      <c r="B64" s="1215"/>
      <c r="C64" s="1215"/>
      <c r="D64" s="1215"/>
      <c r="E64" s="1216"/>
      <c r="F64" s="203"/>
      <c r="G64" s="292" t="s">
        <v>243</v>
      </c>
      <c r="H64" s="293" t="s">
        <v>244</v>
      </c>
      <c r="I64" s="294" t="s">
        <v>245</v>
      </c>
      <c r="J64" s="295">
        <f>IF(ROUNDUP(P88*1000*8/D67,0)&gt;200000000,200000000,ROUNDUP(P88*1000*8/D67,0))</f>
        <v>2781558</v>
      </c>
      <c r="K64" s="296" t="s">
        <v>106</v>
      </c>
      <c r="M64" s="264" t="s">
        <v>246</v>
      </c>
      <c r="N64" s="227" t="s">
        <v>247</v>
      </c>
      <c r="O64" s="227" t="s">
        <v>248</v>
      </c>
      <c r="P64" s="321">
        <v>12</v>
      </c>
      <c r="Q64" s="317" t="s">
        <v>201</v>
      </c>
    </row>
    <row r="65" spans="1:24" ht="69.75" hidden="1" customHeight="1">
      <c r="A65" s="245" t="s">
        <v>249</v>
      </c>
      <c r="B65" s="246" t="s">
        <v>250</v>
      </c>
      <c r="C65" s="247">
        <v>0</v>
      </c>
      <c r="D65" s="248">
        <v>0</v>
      </c>
      <c r="E65" s="249" t="s">
        <v>122</v>
      </c>
      <c r="G65" s="1214" t="s">
        <v>251</v>
      </c>
      <c r="H65" s="1215"/>
      <c r="I65" s="1215"/>
      <c r="J65" s="1215"/>
      <c r="K65" s="1216"/>
      <c r="M65" s="264" t="s">
        <v>252</v>
      </c>
      <c r="N65" s="220" t="s">
        <v>253</v>
      </c>
      <c r="O65" s="227" t="s">
        <v>254</v>
      </c>
      <c r="P65" s="321">
        <f>P60+P61+P62</f>
        <v>36</v>
      </c>
      <c r="Q65" s="317" t="s">
        <v>201</v>
      </c>
      <c r="S65" s="1214" t="s">
        <v>255</v>
      </c>
      <c r="T65" s="1215"/>
      <c r="U65" s="1215"/>
      <c r="V65" s="1215"/>
      <c r="W65" s="1215"/>
      <c r="X65" s="1217"/>
    </row>
    <row r="66" spans="1:24" ht="62.25" hidden="1" customHeight="1">
      <c r="A66" s="1214" t="s">
        <v>256</v>
      </c>
      <c r="B66" s="1215"/>
      <c r="C66" s="1215"/>
      <c r="D66" s="1215"/>
      <c r="E66" s="1216"/>
      <c r="G66" s="292" t="s">
        <v>257</v>
      </c>
      <c r="H66" s="293" t="s">
        <v>251</v>
      </c>
      <c r="I66" s="294" t="s">
        <v>258</v>
      </c>
      <c r="J66" s="295">
        <f>IF((100-ROUNDDOWN(10*P83/(125000*D67),0)-1)&lt;0,0,(100-ROUNDDOWN(10*P83/(125000*D67),0)-1))</f>
        <v>99</v>
      </c>
      <c r="K66" s="296" t="s">
        <v>259</v>
      </c>
      <c r="M66" s="264" t="s">
        <v>260</v>
      </c>
      <c r="N66" s="220" t="s">
        <v>261</v>
      </c>
      <c r="O66" s="227" t="s">
        <v>262</v>
      </c>
      <c r="P66" s="321">
        <f>P57+P58+P59+P63</f>
        <v>26</v>
      </c>
      <c r="Q66" s="317" t="s">
        <v>201</v>
      </c>
      <c r="S66" s="204" t="s">
        <v>263</v>
      </c>
      <c r="T66" s="205" t="s">
        <v>264</v>
      </c>
      <c r="U66" s="205" t="s">
        <v>92</v>
      </c>
      <c r="V66" s="205" t="s">
        <v>93</v>
      </c>
      <c r="W66" s="337" t="s">
        <v>265</v>
      </c>
      <c r="X66" s="206" t="s">
        <v>266</v>
      </c>
    </row>
    <row r="67" spans="1:24" ht="50.25" hidden="1" customHeight="1">
      <c r="A67" s="250" t="s">
        <v>267</v>
      </c>
      <c r="B67" s="251" t="s">
        <v>268</v>
      </c>
      <c r="C67" s="252" t="s">
        <v>122</v>
      </c>
      <c r="D67" s="253">
        <f>B11</f>
        <v>10000</v>
      </c>
      <c r="E67" s="214" t="s">
        <v>269</v>
      </c>
      <c r="G67" s="1214" t="s">
        <v>270</v>
      </c>
      <c r="H67" s="1215"/>
      <c r="I67" s="1215"/>
      <c r="J67" s="1215"/>
      <c r="K67" s="1216"/>
      <c r="M67" s="216" t="s">
        <v>271</v>
      </c>
      <c r="N67" s="217" t="s">
        <v>272</v>
      </c>
      <c r="O67" s="217" t="s">
        <v>273</v>
      </c>
      <c r="P67" s="270">
        <f>64-P59-P63-P65</f>
        <v>10</v>
      </c>
      <c r="Q67" s="324" t="s">
        <v>201</v>
      </c>
      <c r="S67" s="325" t="s">
        <v>274</v>
      </c>
      <c r="T67" s="251" t="str">
        <f>IF(OR(C41="A7",C41="KU3P"),"0x01001004","0x77601654")</f>
        <v>0x01001004</v>
      </c>
      <c r="U67" s="326" t="s">
        <v>275</v>
      </c>
      <c r="V67" s="212" t="s">
        <v>147</v>
      </c>
      <c r="W67" s="338" t="str">
        <f>DEC2HEX(J53)</f>
        <v>0</v>
      </c>
      <c r="X67" s="339"/>
    </row>
    <row r="68" spans="1:24" ht="156" hidden="1" customHeight="1">
      <c r="A68" s="235" t="s">
        <v>276</v>
      </c>
      <c r="B68" s="220" t="s">
        <v>34</v>
      </c>
      <c r="C68" s="254">
        <v>1500</v>
      </c>
      <c r="D68" s="236">
        <f>B18</f>
        <v>8164</v>
      </c>
      <c r="E68" s="237" t="s">
        <v>201</v>
      </c>
      <c r="G68" s="286" t="s">
        <v>277</v>
      </c>
      <c r="H68" s="287" t="s">
        <v>278</v>
      </c>
      <c r="I68" s="251" t="s">
        <v>279</v>
      </c>
      <c r="J68" s="297" t="str">
        <f>IF((D53=1)*(D47="TriggerWidth"),ROUNDUP(J47+MAX(D50,D51)-(D50-P48*J43/1000)*(D50&gt;ROUNDUP(6*J43/1000,0)),0),"null")</f>
        <v>null</v>
      </c>
      <c r="K68" s="298" t="s">
        <v>117</v>
      </c>
      <c r="M68" s="1214" t="s">
        <v>280</v>
      </c>
      <c r="N68" s="1215"/>
      <c r="O68" s="1215"/>
      <c r="P68" s="1215"/>
      <c r="Q68" s="1216"/>
      <c r="S68" s="327" t="s">
        <v>281</v>
      </c>
      <c r="T68" s="220" t="str">
        <f>IF(OR(C41="A7",C41="KU3P"),"0x01001008","0x77601658")</f>
        <v>0x01001008</v>
      </c>
      <c r="U68" s="328" t="s">
        <v>282</v>
      </c>
      <c r="V68" s="227" t="s">
        <v>141</v>
      </c>
      <c r="W68" s="340" t="str">
        <f>DEC2HEX(J52)</f>
        <v>4E19</v>
      </c>
      <c r="X68" s="341"/>
    </row>
    <row r="69" spans="1:24" ht="84.75" hidden="1" customHeight="1">
      <c r="A69" s="235" t="str">
        <f>"流通道包间隔 
范围:0"&amp;"-"&amp;J64</f>
        <v>流通道包间隔 
范围:0-2781558</v>
      </c>
      <c r="B69" s="220" t="s">
        <v>32</v>
      </c>
      <c r="C69" s="254">
        <v>0</v>
      </c>
      <c r="D69" s="236">
        <f>B16</f>
        <v>0</v>
      </c>
      <c r="E69" s="237" t="s">
        <v>106</v>
      </c>
      <c r="G69" s="288" t="s">
        <v>283</v>
      </c>
      <c r="H69" s="289" t="s">
        <v>284</v>
      </c>
      <c r="I69" s="223" t="s">
        <v>285</v>
      </c>
      <c r="J69" s="299" t="str">
        <f>IF((D53=1)*(D47="TriggerWidth"),MAX(D50,D51)+P49/P43,"null")</f>
        <v>null</v>
      </c>
      <c r="K69" s="291" t="s">
        <v>117</v>
      </c>
      <c r="M69" s="204" t="s">
        <v>91</v>
      </c>
      <c r="N69" s="205" t="s">
        <v>92</v>
      </c>
      <c r="O69" s="205" t="s">
        <v>93</v>
      </c>
      <c r="P69" s="205" t="s">
        <v>96</v>
      </c>
      <c r="Q69" s="308" t="s">
        <v>95</v>
      </c>
      <c r="S69" s="327" t="s">
        <v>286</v>
      </c>
      <c r="T69" s="220" t="str">
        <f>IF(OR(C41="A7",C41="KU3P"),"0x01001010","0x7760165c")</f>
        <v>0x01001010</v>
      </c>
      <c r="U69" s="328" t="s">
        <v>287</v>
      </c>
      <c r="V69" s="227" t="s">
        <v>114</v>
      </c>
      <c r="W69" s="340" t="str">
        <f>DEC2HEX(MAX(J47,J48,J49,J50))</f>
        <v>5D62</v>
      </c>
      <c r="X69" s="341"/>
    </row>
    <row r="70" spans="1:24" ht="57" hidden="1" customHeight="1">
      <c r="A70" s="238" t="str">
        <f>"预留带宽 
范围:0-"&amp;J66</f>
        <v>预留带宽 
范围:0-99</v>
      </c>
      <c r="B70" s="225" t="s">
        <v>30</v>
      </c>
      <c r="C70" s="257">
        <v>2</v>
      </c>
      <c r="D70" s="239">
        <f>B14</f>
        <v>10</v>
      </c>
      <c r="E70" s="219" t="s">
        <v>259</v>
      </c>
      <c r="M70" s="211" t="s">
        <v>288</v>
      </c>
      <c r="N70" s="251" t="s">
        <v>289</v>
      </c>
      <c r="O70" s="212" t="s">
        <v>290</v>
      </c>
      <c r="P70" s="311">
        <f>36</f>
        <v>36</v>
      </c>
      <c r="Q70" s="312" t="s">
        <v>201</v>
      </c>
      <c r="S70" s="327" t="s">
        <v>291</v>
      </c>
      <c r="T70" s="220" t="str">
        <f>IF(OR(C41="A7",C41="KU3P"),"0x01001014","0x77601850")</f>
        <v>0x01001014</v>
      </c>
      <c r="U70" s="328" t="s">
        <v>292</v>
      </c>
      <c r="V70" s="227" t="s">
        <v>114</v>
      </c>
      <c r="W70" s="340" t="str">
        <f>IF(D47="TriggerWidth",DEC2HEX(MAX(J47,J49)),IF(D54=0,DEC2HEX(MAX(J47,J48,IF(D65=1,0,J49))),DEC2HEX(MAX(J47,J48,IF(D65=1,0,J49),J50))))</f>
        <v>5D62</v>
      </c>
      <c r="X70" s="341"/>
    </row>
    <row r="71" spans="1:24" ht="75.75" hidden="1" customHeight="1">
      <c r="A71" s="1214" t="s">
        <v>293</v>
      </c>
      <c r="B71" s="1215"/>
      <c r="C71" s="1215"/>
      <c r="D71" s="1215"/>
      <c r="E71" s="1216"/>
      <c r="M71" s="264" t="s">
        <v>294</v>
      </c>
      <c r="N71" s="220" t="s">
        <v>295</v>
      </c>
      <c r="O71" s="227" t="s">
        <v>296</v>
      </c>
      <c r="P71" s="321">
        <v>10</v>
      </c>
      <c r="Q71" s="317" t="s">
        <v>201</v>
      </c>
      <c r="S71" s="327" t="s">
        <v>297</v>
      </c>
      <c r="T71" s="220" t="str">
        <f>IF(OR(C41="A7",C41="KU3P"),"0x01001018","待定")</f>
        <v>0x01001018</v>
      </c>
      <c r="U71" s="328" t="s">
        <v>298</v>
      </c>
      <c r="V71" s="220" t="s">
        <v>114</v>
      </c>
      <c r="W71" s="340" t="str">
        <f>DEC2HEX(MAX(J47,J48))</f>
        <v>5D62</v>
      </c>
      <c r="X71" s="341"/>
    </row>
    <row r="72" spans="1:24" ht="50.1" hidden="1" customHeight="1">
      <c r="A72" s="211" t="s">
        <v>299</v>
      </c>
      <c r="B72" s="212" t="s">
        <v>300</v>
      </c>
      <c r="C72" s="212">
        <v>0</v>
      </c>
      <c r="D72" s="215">
        <f>B12</f>
        <v>0</v>
      </c>
      <c r="E72" s="234" t="s">
        <v>122</v>
      </c>
      <c r="M72" s="305" t="s">
        <v>301</v>
      </c>
      <c r="N72" s="329" t="s">
        <v>302</v>
      </c>
      <c r="O72" s="329" t="s">
        <v>303</v>
      </c>
      <c r="P72" s="265">
        <v>60</v>
      </c>
      <c r="Q72" s="282" t="s">
        <v>201</v>
      </c>
      <c r="S72" s="327" t="s">
        <v>304</v>
      </c>
      <c r="T72" s="220" t="str">
        <f>IF(OR(C41="A7",C41="KU3P"),"0x0100100C","0x7760185C")</f>
        <v>0x0100100C</v>
      </c>
      <c r="U72" s="328" t="s">
        <v>305</v>
      </c>
      <c r="V72" s="227" t="s">
        <v>135</v>
      </c>
      <c r="W72" s="340" t="str">
        <f>DEC2HEX(J47)</f>
        <v>5D62</v>
      </c>
      <c r="X72" s="341"/>
    </row>
    <row r="73" spans="1:24" ht="75" hidden="1" customHeight="1">
      <c r="A73" s="216" t="s">
        <v>293</v>
      </c>
      <c r="B73" s="217" t="s">
        <v>306</v>
      </c>
      <c r="C73" s="217">
        <f>VLOOKUP($C$40,$S$42:$AU$59,25,FALSE)</f>
        <v>42</v>
      </c>
      <c r="D73" s="218">
        <f>B13</f>
        <v>40.799999999999997</v>
      </c>
      <c r="E73" s="258" t="s">
        <v>125</v>
      </c>
      <c r="M73" s="235" t="s">
        <v>307</v>
      </c>
      <c r="N73" s="220" t="s">
        <v>308</v>
      </c>
      <c r="O73" s="220" t="s">
        <v>309</v>
      </c>
      <c r="P73" s="265">
        <f>D60*D61*IF(D45=8,1,2)</f>
        <v>26214400</v>
      </c>
      <c r="Q73" s="317" t="s">
        <v>201</v>
      </c>
      <c r="S73" s="330" t="s">
        <v>310</v>
      </c>
      <c r="T73" s="220" t="str">
        <f>IF(OR(C41="A7",C41="KU3P"),"0x0100101C","0x77601860")</f>
        <v>0x0100101C</v>
      </c>
      <c r="U73" s="328" t="s">
        <v>311</v>
      </c>
      <c r="V73" s="227" t="s">
        <v>312</v>
      </c>
      <c r="W73" s="342" t="str">
        <f>DEC2HEX(IF(P51=1,ROUNDUP(6*J43/1000,0),0))</f>
        <v>1C</v>
      </c>
      <c r="X73" s="341"/>
    </row>
    <row r="74" spans="1:24" ht="43.5" hidden="1" customHeight="1">
      <c r="A74" s="1214" t="s">
        <v>313</v>
      </c>
      <c r="B74" s="1215"/>
      <c r="C74" s="1215"/>
      <c r="D74" s="1215"/>
      <c r="E74" s="1216"/>
      <c r="G74" s="1218"/>
      <c r="H74" s="1218"/>
      <c r="I74" s="1218"/>
      <c r="J74" s="1218"/>
      <c r="K74" s="1218"/>
      <c r="M74" s="264" t="s">
        <v>314</v>
      </c>
      <c r="N74" s="220" t="s">
        <v>315</v>
      </c>
      <c r="O74" s="220" t="s">
        <v>316</v>
      </c>
      <c r="P74" s="321">
        <f>P73+P72*D63</f>
        <v>26214400</v>
      </c>
      <c r="Q74" s="317" t="s">
        <v>201</v>
      </c>
      <c r="S74" s="330" t="s">
        <v>317</v>
      </c>
      <c r="T74" s="220" t="str">
        <f>IF(OR(C41="A7",C41="KU3P"),"0x01100000","0x77601500")</f>
        <v>0x01100000</v>
      </c>
      <c r="U74" s="328" t="s">
        <v>318</v>
      </c>
      <c r="V74" s="220" t="s">
        <v>122</v>
      </c>
      <c r="W74" s="340" t="s">
        <v>319</v>
      </c>
      <c r="X74" s="341"/>
    </row>
    <row r="75" spans="1:24" ht="60" hidden="1" customHeight="1">
      <c r="A75" s="211" t="s">
        <v>320</v>
      </c>
      <c r="B75" s="212" t="s">
        <v>321</v>
      </c>
      <c r="C75" s="212">
        <v>1</v>
      </c>
      <c r="D75" s="215">
        <f>B7</f>
        <v>1</v>
      </c>
      <c r="E75" s="234" t="s">
        <v>122</v>
      </c>
      <c r="G75" s="569"/>
      <c r="H75" s="570"/>
      <c r="I75" s="336"/>
      <c r="J75" s="336"/>
      <c r="K75" s="336"/>
      <c r="M75" s="264" t="s">
        <v>322</v>
      </c>
      <c r="N75" s="220" t="s">
        <v>323</v>
      </c>
      <c r="O75" s="227" t="s">
        <v>324</v>
      </c>
      <c r="P75" s="331">
        <f>INT(P74/(D68-P65))</f>
        <v>3225</v>
      </c>
      <c r="Q75" s="317" t="s">
        <v>421</v>
      </c>
      <c r="S75" s="332" t="s">
        <v>325</v>
      </c>
      <c r="T75" s="220" t="str">
        <f>IF(OR(C41="A7",C41="KU3P"),"0x01100010","0x7760147C")</f>
        <v>0x01100010</v>
      </c>
      <c r="U75" s="571" t="s">
        <v>326</v>
      </c>
      <c r="V75" s="217" t="s">
        <v>327</v>
      </c>
      <c r="W75" s="345" t="str">
        <f>DEC2HEX(ROUNDUP(J43*P43/1000,0)-D60/VLOOKUP($C$40,$S$42:$AU$59,5,FALSE)/VLOOKUP($C$40,$S$42:$AU$59,6,FALSE))</f>
        <v>34</v>
      </c>
      <c r="X75" s="341"/>
    </row>
    <row r="76" spans="1:24" ht="126.75" hidden="1" customHeight="1">
      <c r="A76" s="216" t="s">
        <v>328</v>
      </c>
      <c r="B76" s="217" t="s">
        <v>329</v>
      </c>
      <c r="C76" s="217">
        <v>1</v>
      </c>
      <c r="D76" s="218">
        <f>B8</f>
        <v>1</v>
      </c>
      <c r="E76" s="258" t="s">
        <v>122</v>
      </c>
      <c r="M76" s="264" t="s">
        <v>330</v>
      </c>
      <c r="N76" s="220" t="s">
        <v>331</v>
      </c>
      <c r="O76" s="227" t="s">
        <v>332</v>
      </c>
      <c r="P76" s="331">
        <f>P74-(D68-P65)*P75</f>
        <v>1600</v>
      </c>
      <c r="Q76" s="317" t="s">
        <v>201</v>
      </c>
      <c r="S76" s="330" t="s">
        <v>333</v>
      </c>
      <c r="T76" s="220" t="s">
        <v>334</v>
      </c>
      <c r="U76" s="220" t="s">
        <v>335</v>
      </c>
      <c r="V76" s="220" t="s">
        <v>336</v>
      </c>
      <c r="W76" s="342" t="str">
        <f>"0x"&amp;DEC2HEX(D68-P65)</f>
        <v>0x1FC0</v>
      </c>
      <c r="X76" s="343" t="s">
        <v>337</v>
      </c>
    </row>
    <row r="77" spans="1:24" ht="30" hidden="1" customHeight="1">
      <c r="A77" s="1214" t="s">
        <v>338</v>
      </c>
      <c r="B77" s="1215"/>
      <c r="C77" s="1215"/>
      <c r="D77" s="1215"/>
      <c r="E77" s="1216"/>
      <c r="M77" s="264" t="s">
        <v>339</v>
      </c>
      <c r="N77" s="220" t="s">
        <v>340</v>
      </c>
      <c r="O77" s="227" t="s">
        <v>341</v>
      </c>
      <c r="P77" s="321">
        <f>IF(MOD(P73,(D68-P65))=0,0,1)</f>
        <v>1</v>
      </c>
      <c r="Q77" s="317" t="s">
        <v>421</v>
      </c>
      <c r="S77" s="330" t="s">
        <v>342</v>
      </c>
      <c r="T77" s="220" t="s">
        <v>343</v>
      </c>
      <c r="U77" s="220" t="s">
        <v>344</v>
      </c>
      <c r="V77" s="220" t="s">
        <v>345</v>
      </c>
      <c r="W77" s="342" t="str">
        <f>"0x"&amp;DEC2HEX(J62)</f>
        <v>0x0</v>
      </c>
      <c r="X77" s="1226" t="s">
        <v>346</v>
      </c>
    </row>
    <row r="78" spans="1:24" ht="99.75" hidden="1" customHeight="1">
      <c r="A78" s="211" t="s">
        <v>347</v>
      </c>
      <c r="B78" s="212" t="s">
        <v>348</v>
      </c>
      <c r="C78" s="212">
        <v>1</v>
      </c>
      <c r="D78" s="215">
        <f>B6</f>
        <v>1</v>
      </c>
      <c r="E78" s="234" t="s">
        <v>122</v>
      </c>
      <c r="M78" s="264" t="s">
        <v>349</v>
      </c>
      <c r="N78" s="220" t="s">
        <v>350</v>
      </c>
      <c r="O78" s="227" t="s">
        <v>351</v>
      </c>
      <c r="P78" s="331">
        <f>IF(P76&lt;P67,P67,P76)</f>
        <v>1600</v>
      </c>
      <c r="Q78" s="317" t="s">
        <v>201</v>
      </c>
      <c r="S78" s="332" t="s">
        <v>352</v>
      </c>
      <c r="T78" s="225" t="s">
        <v>353</v>
      </c>
      <c r="U78" s="225" t="s">
        <v>354</v>
      </c>
      <c r="V78" s="225" t="s">
        <v>355</v>
      </c>
      <c r="W78" s="345" t="str">
        <f>"0x"&amp;DEC2HEX(J61)</f>
        <v>0x0</v>
      </c>
      <c r="X78" s="1227"/>
    </row>
    <row r="79" spans="1:24" ht="30" hidden="1" customHeight="1">
      <c r="A79" s="216" t="s">
        <v>356</v>
      </c>
      <c r="B79" s="217" t="s">
        <v>357</v>
      </c>
      <c r="C79" s="217">
        <v>1</v>
      </c>
      <c r="D79" s="218">
        <v>1</v>
      </c>
      <c r="E79" s="258" t="s">
        <v>122</v>
      </c>
      <c r="M79" s="264" t="s">
        <v>358</v>
      </c>
      <c r="N79" s="220" t="s">
        <v>359</v>
      </c>
      <c r="O79" s="227" t="s">
        <v>360</v>
      </c>
      <c r="P79" s="331">
        <f>P66+P65+P70</f>
        <v>98</v>
      </c>
      <c r="Q79" s="317" t="s">
        <v>201</v>
      </c>
      <c r="S79" s="330" t="s">
        <v>361</v>
      </c>
      <c r="T79" s="220" t="s">
        <v>362</v>
      </c>
      <c r="U79" s="220" t="s">
        <v>363</v>
      </c>
      <c r="V79" s="220" t="s">
        <v>364</v>
      </c>
      <c r="W79" s="220" t="str">
        <f>"0x"&amp;DEC2HEX(D50)</f>
        <v>0x0</v>
      </c>
      <c r="X79" s="572"/>
    </row>
    <row r="80" spans="1:24" ht="30" hidden="1" customHeight="1">
      <c r="A80" s="1219" t="s">
        <v>365</v>
      </c>
      <c r="B80" s="1220"/>
      <c r="C80" s="1220"/>
      <c r="D80" s="1220"/>
      <c r="E80" s="1221"/>
      <c r="M80" s="264" t="s">
        <v>366</v>
      </c>
      <c r="N80" s="220" t="s">
        <v>367</v>
      </c>
      <c r="O80" s="227" t="s">
        <v>368</v>
      </c>
      <c r="P80" s="331">
        <f>P66+P65+P71</f>
        <v>72</v>
      </c>
      <c r="Q80" s="317" t="s">
        <v>201</v>
      </c>
      <c r="S80" s="386" t="s">
        <v>369</v>
      </c>
      <c r="T80" s="223" t="s">
        <v>370</v>
      </c>
      <c r="U80" s="223" t="s">
        <v>371</v>
      </c>
      <c r="V80" s="223" t="s">
        <v>372</v>
      </c>
      <c r="W80" s="223" t="str">
        <f>"0x"&amp;IF((D53=1)*(D47="TriggerWidth"),1,0)</f>
        <v>0x0</v>
      </c>
      <c r="X80" s="573"/>
    </row>
    <row r="81" spans="1:17" ht="52.5" hidden="1" customHeight="1">
      <c r="A81" s="374" t="s">
        <v>58</v>
      </c>
      <c r="B81" s="1222" t="s">
        <v>373</v>
      </c>
      <c r="C81" s="1222"/>
      <c r="D81" s="1223">
        <f>J45</f>
        <v>41.830502802643686</v>
      </c>
      <c r="E81" s="1224"/>
      <c r="M81" s="264" t="s">
        <v>374</v>
      </c>
      <c r="N81" s="220" t="s">
        <v>375</v>
      </c>
      <c r="O81" s="227" t="s">
        <v>376</v>
      </c>
      <c r="P81" s="331">
        <f>P75*(D68+P66)+P77*(P78+P66+P65)</f>
        <v>26414412</v>
      </c>
      <c r="Q81" s="317" t="s">
        <v>201</v>
      </c>
    </row>
    <row r="82" spans="1:17" ht="66.75" hidden="1" customHeight="1">
      <c r="M82" s="235" t="s">
        <v>377</v>
      </c>
      <c r="N82" s="220" t="s">
        <v>378</v>
      </c>
      <c r="O82" s="220" t="s">
        <v>379</v>
      </c>
      <c r="P82" s="390">
        <f>(2+P77+P75)*P87</f>
        <v>64560</v>
      </c>
      <c r="Q82" s="282" t="s">
        <v>201</v>
      </c>
    </row>
    <row r="83" spans="1:17" ht="45" hidden="1" customHeight="1">
      <c r="M83" s="235" t="s">
        <v>380</v>
      </c>
      <c r="N83" s="220" t="s">
        <v>381</v>
      </c>
      <c r="O83" s="220" t="s">
        <v>382</v>
      </c>
      <c r="P83" s="265">
        <f>P79+P80+P81+P82</f>
        <v>26479142</v>
      </c>
      <c r="Q83" s="282" t="s">
        <v>201</v>
      </c>
    </row>
    <row r="84" spans="1:17" ht="45" hidden="1" customHeight="1">
      <c r="I84" s="203"/>
      <c r="M84" s="235" t="s">
        <v>383</v>
      </c>
      <c r="N84" s="220" t="s">
        <v>384</v>
      </c>
      <c r="O84" s="220" t="s">
        <v>385</v>
      </c>
      <c r="P84" s="265">
        <f>INT(1000000*D67*(100-D70)/80)</f>
        <v>11250000000</v>
      </c>
      <c r="Q84" s="282" t="s">
        <v>386</v>
      </c>
    </row>
    <row r="85" spans="1:17" ht="45" hidden="1" customHeight="1">
      <c r="M85" s="238" t="s">
        <v>387</v>
      </c>
      <c r="N85" s="225" t="s">
        <v>388</v>
      </c>
      <c r="O85" s="225" t="s">
        <v>389</v>
      </c>
      <c r="P85" s="277">
        <f>ROUNDUP(P83*1000000/P84,0)*10</f>
        <v>23540</v>
      </c>
      <c r="Q85" s="219" t="s">
        <v>117</v>
      </c>
    </row>
    <row r="86" spans="1:17" ht="60" hidden="1" customHeight="1">
      <c r="M86" s="1214" t="s">
        <v>390</v>
      </c>
      <c r="N86" s="1215"/>
      <c r="O86" s="1215"/>
      <c r="P86" s="1215"/>
      <c r="Q86" s="1216"/>
    </row>
    <row r="87" spans="1:17" ht="78" hidden="1" customHeight="1">
      <c r="M87" s="280" t="s">
        <v>391</v>
      </c>
      <c r="N87" s="391" t="s">
        <v>392</v>
      </c>
      <c r="O87" s="220" t="s">
        <v>393</v>
      </c>
      <c r="P87" s="265">
        <f>MAX(ROUNDUP(D69*D67/1000/8,0),P64+8)</f>
        <v>20</v>
      </c>
      <c r="Q87" s="282" t="s">
        <v>394</v>
      </c>
    </row>
    <row r="88" spans="1:17" ht="71.25" hidden="1" customHeight="1">
      <c r="M88" s="288" t="s">
        <v>395</v>
      </c>
      <c r="N88" s="289" t="s">
        <v>396</v>
      </c>
      <c r="O88" s="223" t="s">
        <v>397</v>
      </c>
      <c r="P88" s="290">
        <f>ROUNDDOWN((P84-(P81+P80+P79))/(P75+P77+2),0)</f>
        <v>3476947</v>
      </c>
      <c r="Q88" s="291" t="s">
        <v>394</v>
      </c>
    </row>
    <row r="89" spans="1:17" ht="30" hidden="1" customHeight="1"/>
    <row r="90" spans="1:17" ht="45" customHeight="1"/>
    <row r="92" spans="1:17" ht="45" customHeight="1"/>
    <row r="93" spans="1:17" ht="60" customHeight="1"/>
    <row r="115" spans="1:9" ht="30" customHeight="1">
      <c r="G115" s="384"/>
      <c r="H115" s="1225"/>
      <c r="I115" s="1225"/>
    </row>
    <row r="116" spans="1:9" ht="30" customHeight="1">
      <c r="G116" s="384"/>
      <c r="H116" s="384"/>
      <c r="I116" s="384"/>
    </row>
    <row r="117" spans="1:9" ht="30" customHeight="1">
      <c r="G117" s="384"/>
      <c r="H117" s="384"/>
      <c r="I117" s="384"/>
    </row>
    <row r="118" spans="1:9" ht="30" customHeight="1">
      <c r="G118" s="384"/>
      <c r="H118" s="384"/>
      <c r="I118" s="384"/>
    </row>
    <row r="119" spans="1:9" ht="30" customHeight="1">
      <c r="G119" s="384"/>
      <c r="H119" s="384"/>
      <c r="I119" s="384"/>
    </row>
    <row r="120" spans="1:9" ht="30" customHeight="1">
      <c r="G120" s="384"/>
      <c r="H120" s="1225"/>
      <c r="I120" s="1225"/>
    </row>
    <row r="121" spans="1:9" ht="30" customHeight="1">
      <c r="F121" s="385"/>
      <c r="G121" s="384"/>
      <c r="H121" s="384"/>
      <c r="I121" s="384"/>
    </row>
    <row r="122" spans="1:9" ht="30" customHeight="1">
      <c r="A122" s="384"/>
      <c r="B122" s="384"/>
      <c r="C122" s="384"/>
      <c r="D122" s="384"/>
      <c r="F122" s="384"/>
      <c r="G122" s="384"/>
      <c r="H122" s="384"/>
      <c r="I122" s="384"/>
    </row>
    <row r="123" spans="1:9" ht="30" customHeight="1">
      <c r="A123" s="384"/>
      <c r="B123" s="384"/>
      <c r="C123" s="384"/>
      <c r="D123" s="384"/>
      <c r="F123" s="384"/>
      <c r="G123" s="384"/>
      <c r="H123" s="384"/>
      <c r="I123" s="384"/>
    </row>
    <row r="124" spans="1:9" ht="30" customHeight="1">
      <c r="A124" s="384"/>
      <c r="B124" s="384"/>
      <c r="C124" s="384"/>
      <c r="D124" s="384"/>
      <c r="F124" s="384"/>
      <c r="G124" s="384"/>
      <c r="H124" s="384"/>
      <c r="I124" s="384"/>
    </row>
    <row r="125" spans="1:9" ht="30" customHeight="1">
      <c r="A125" s="384"/>
      <c r="B125" s="384"/>
      <c r="C125" s="384"/>
      <c r="D125" s="384"/>
      <c r="E125" s="385"/>
      <c r="F125" s="384"/>
      <c r="G125" s="384"/>
      <c r="H125" s="1225"/>
      <c r="I125" s="1225"/>
    </row>
    <row r="126" spans="1:9" ht="30" customHeight="1">
      <c r="A126" s="384"/>
      <c r="B126" s="384"/>
      <c r="C126" s="384"/>
      <c r="D126" s="384"/>
      <c r="E126" s="384"/>
      <c r="F126" s="384"/>
      <c r="G126" s="384"/>
      <c r="H126" s="384"/>
      <c r="I126" s="384"/>
    </row>
    <row r="127" spans="1:9" ht="30" customHeight="1">
      <c r="A127" s="384"/>
      <c r="B127" s="384"/>
      <c r="C127" s="384"/>
      <c r="D127" s="384"/>
      <c r="E127" s="384"/>
      <c r="F127" s="384"/>
      <c r="G127" s="384"/>
      <c r="H127" s="384"/>
      <c r="I127" s="384"/>
    </row>
    <row r="128" spans="1:9" ht="30" customHeight="1">
      <c r="A128" s="384"/>
      <c r="B128" s="384"/>
      <c r="C128" s="384"/>
      <c r="D128" s="384"/>
      <c r="E128" s="384"/>
      <c r="F128" s="384"/>
      <c r="G128" s="384"/>
      <c r="H128" s="384"/>
      <c r="I128" s="384"/>
    </row>
    <row r="129" spans="1:9" ht="30" customHeight="1">
      <c r="A129" s="385"/>
      <c r="B129" s="385"/>
      <c r="C129" s="384"/>
      <c r="D129" s="384"/>
      <c r="E129" s="384"/>
      <c r="F129" s="384"/>
      <c r="G129" s="384"/>
      <c r="H129" s="384"/>
      <c r="I129" s="384"/>
    </row>
    <row r="130" spans="1:9" ht="30" customHeight="1">
      <c r="A130" s="384"/>
      <c r="B130" s="385"/>
      <c r="C130" s="384"/>
      <c r="D130" s="384"/>
      <c r="E130" s="384"/>
      <c r="F130" s="384"/>
      <c r="G130" s="384"/>
      <c r="H130" s="384"/>
      <c r="I130" s="384"/>
    </row>
    <row r="131" spans="1:9" ht="30" customHeight="1">
      <c r="A131" s="384"/>
      <c r="B131" s="385"/>
      <c r="C131" s="384"/>
      <c r="D131" s="384"/>
      <c r="E131" s="384"/>
      <c r="F131" s="384"/>
      <c r="G131" s="384"/>
      <c r="H131" s="384"/>
      <c r="I131" s="384"/>
    </row>
    <row r="132" spans="1:9" ht="30" customHeight="1">
      <c r="A132" s="384"/>
      <c r="B132" s="384"/>
      <c r="C132" s="384"/>
      <c r="D132" s="384"/>
      <c r="E132" s="384"/>
      <c r="F132" s="384"/>
      <c r="G132" s="384"/>
      <c r="H132" s="384"/>
      <c r="I132" s="384"/>
    </row>
    <row r="133" spans="1:9" ht="30" customHeight="1">
      <c r="A133" s="384"/>
      <c r="B133" s="384"/>
      <c r="C133" s="384"/>
      <c r="D133" s="384"/>
      <c r="E133" s="384"/>
      <c r="F133" s="384"/>
      <c r="G133" s="384"/>
      <c r="H133" s="384"/>
      <c r="I133" s="384"/>
    </row>
    <row r="134" spans="1:9" ht="30" customHeight="1">
      <c r="A134" s="384"/>
      <c r="B134" s="384"/>
      <c r="C134" s="384"/>
      <c r="D134" s="384"/>
      <c r="E134" s="384"/>
      <c r="F134" s="384"/>
      <c r="G134" s="384"/>
      <c r="H134" s="384"/>
      <c r="I134" s="384"/>
    </row>
    <row r="135" spans="1:9" ht="30" customHeight="1">
      <c r="A135" s="384"/>
      <c r="B135" s="384"/>
      <c r="C135" s="384"/>
      <c r="D135" s="384"/>
      <c r="E135" s="384"/>
      <c r="F135" s="384"/>
      <c r="G135" s="384"/>
      <c r="H135" s="384"/>
      <c r="I135" s="384"/>
    </row>
    <row r="136" spans="1:9" ht="30" customHeight="1">
      <c r="A136" s="384"/>
      <c r="B136" s="384"/>
      <c r="C136" s="384"/>
      <c r="D136" s="384"/>
      <c r="E136" s="384"/>
      <c r="F136" s="384"/>
      <c r="G136" s="384"/>
      <c r="H136" s="384"/>
      <c r="I136" s="384"/>
    </row>
    <row r="137" spans="1:9" ht="30" customHeight="1">
      <c r="A137" s="384"/>
      <c r="B137" s="384"/>
      <c r="C137" s="384"/>
      <c r="D137" s="384"/>
      <c r="E137" s="384"/>
      <c r="F137" s="384"/>
      <c r="G137" s="384"/>
      <c r="H137" s="384"/>
      <c r="I137" s="384"/>
    </row>
    <row r="138" spans="1:9" ht="30" customHeight="1">
      <c r="A138" s="384"/>
      <c r="B138" s="384"/>
      <c r="C138" s="384"/>
      <c r="D138" s="384"/>
      <c r="E138" s="384"/>
      <c r="F138" s="384"/>
      <c r="G138" s="384"/>
      <c r="H138" s="384"/>
      <c r="I138" s="384"/>
    </row>
    <row r="139" spans="1:9" ht="30" customHeight="1">
      <c r="A139" s="384"/>
      <c r="B139" s="384"/>
      <c r="C139" s="384"/>
      <c r="D139" s="384"/>
      <c r="E139" s="384"/>
      <c r="F139" s="384"/>
      <c r="G139" s="384"/>
      <c r="H139" s="384"/>
      <c r="I139" s="384"/>
    </row>
    <row r="140" spans="1:9" ht="30" customHeight="1">
      <c r="A140" s="384"/>
      <c r="B140" s="384"/>
      <c r="C140" s="384"/>
      <c r="D140" s="384"/>
      <c r="E140" s="384"/>
      <c r="F140" s="384"/>
    </row>
    <row r="141" spans="1:9" ht="30" customHeight="1">
      <c r="A141" s="384"/>
      <c r="B141" s="384"/>
      <c r="C141" s="384"/>
      <c r="D141" s="384"/>
      <c r="E141" s="384"/>
      <c r="F141" s="384"/>
    </row>
    <row r="142" spans="1:9" ht="30" customHeight="1">
      <c r="A142" s="384"/>
      <c r="B142" s="384"/>
      <c r="C142" s="384"/>
      <c r="D142" s="384"/>
      <c r="E142" s="384"/>
      <c r="F142" s="384"/>
    </row>
    <row r="143" spans="1:9" ht="30" customHeight="1">
      <c r="A143" s="384"/>
      <c r="B143" s="384"/>
      <c r="C143" s="384"/>
      <c r="D143" s="384"/>
      <c r="E143" s="384"/>
      <c r="F143" s="384"/>
    </row>
    <row r="144" spans="1:9" ht="30" customHeight="1">
      <c r="A144" s="384"/>
      <c r="B144" s="384"/>
      <c r="C144" s="384"/>
      <c r="D144" s="384"/>
      <c r="E144" s="384"/>
      <c r="F144" s="384"/>
    </row>
    <row r="145" spans="1:6" ht="30" customHeight="1">
      <c r="A145" s="384"/>
      <c r="B145" s="384"/>
      <c r="C145" s="384"/>
      <c r="D145" s="384"/>
      <c r="E145" s="384"/>
      <c r="F145" s="384"/>
    </row>
    <row r="146" spans="1:6" ht="30" customHeight="1">
      <c r="A146" s="384"/>
      <c r="B146" s="384"/>
      <c r="C146" s="384"/>
      <c r="D146" s="384"/>
      <c r="E146" s="384"/>
    </row>
    <row r="147" spans="1:6" ht="30" customHeight="1">
      <c r="E147" s="384"/>
    </row>
    <row r="148" spans="1:6" ht="30" customHeight="1">
      <c r="E148" s="384"/>
    </row>
    <row r="149" spans="1:6" ht="30" customHeight="1">
      <c r="E149" s="384"/>
    </row>
  </sheetData>
  <sheetProtection algorithmName="SHA-512" hashValue="ISg+vJxcuiyYeKmxy1t8EoF+WtVyXevpUdoexJaxLFO0vdVqO6m/mGr2aQYgqXRSlFQ7ogbnn/s0M3ISPmkRSg==" saltValue="x87ZnBw2p6aFcpS2sIj9jg==" spinCount="100000" sheet="1" objects="1" selectLockedCells="1"/>
  <mergeCells count="36">
    <mergeCell ref="M86:Q86"/>
    <mergeCell ref="H115:I115"/>
    <mergeCell ref="H120:I120"/>
    <mergeCell ref="H125:I125"/>
    <mergeCell ref="X77:X78"/>
    <mergeCell ref="A74:E74"/>
    <mergeCell ref="G74:K74"/>
    <mergeCell ref="A77:E77"/>
    <mergeCell ref="A80:E80"/>
    <mergeCell ref="B81:C81"/>
    <mergeCell ref="D81:E81"/>
    <mergeCell ref="S65:X65"/>
    <mergeCell ref="A66:E66"/>
    <mergeCell ref="G67:K67"/>
    <mergeCell ref="M68:Q68"/>
    <mergeCell ref="A71:E71"/>
    <mergeCell ref="G60:K60"/>
    <mergeCell ref="A62:E62"/>
    <mergeCell ref="G63:K63"/>
    <mergeCell ref="A64:E64"/>
    <mergeCell ref="G65:K65"/>
    <mergeCell ref="A52:E52"/>
    <mergeCell ref="A55:E55"/>
    <mergeCell ref="M55:Q55"/>
    <mergeCell ref="G56:K56"/>
    <mergeCell ref="A57:E57"/>
    <mergeCell ref="A42:E42"/>
    <mergeCell ref="A44:E44"/>
    <mergeCell ref="A46:E46"/>
    <mergeCell ref="G46:K46"/>
    <mergeCell ref="G51:K51"/>
    <mergeCell ref="G40:K40"/>
    <mergeCell ref="M40:Q40"/>
    <mergeCell ref="S40:AV40"/>
    <mergeCell ref="G41:K41"/>
    <mergeCell ref="M41:Q41"/>
  </mergeCells>
  <phoneticPr fontId="36" type="noConversion"/>
  <dataValidations count="37">
    <dataValidation type="whole" allowBlank="1" showInputMessage="1" showErrorMessage="1" errorTitle="设置值超出范围" error="预留带宽设置值超出范围" sqref="D70">
      <formula1>0</formula1>
      <formula2>J66</formula2>
    </dataValidation>
    <dataValidation type="custom" allowBlank="1" showInputMessage="1" showErrorMessage="1" error="输入参数值为1或者2" sqref="B8">
      <formula1>OR((B8=1),(B8=2))</formula1>
    </dataValidation>
    <dataValidation allowBlank="1" showErrorMessage="1" promptTitle="参数变化" prompt="该参数会根据当前生效的水平像素Binning、水平像素抽样变化" sqref="B2 B3"/>
    <dataValidation type="whole" allowBlank="1" showInputMessage="1" showErrorMessage="1" error="设置值范围为0~包间隔最大值" sqref="B16">
      <formula1>0</formula1>
      <formula2>B17</formula2>
    </dataValidation>
    <dataValidation allowBlank="1" showInputMessage="1" showErrorMessage="1" error="输入范围是64~1024，步长为2" sqref="A1:B1"/>
    <dataValidation type="custom" allowBlank="1" showInputMessage="1" showErrorMessage="1" errorTitle="输入数值非法" error="输入范围是16~图像宽度最大值，步长为16" sqref="B4">
      <formula1>AND((B4&lt;=B2),(B4&gt;=4),(MOD(B4,4)=0))</formula1>
    </dataValidation>
    <dataValidation type="whole" allowBlank="1" showInputMessage="1" showErrorMessage="1" errorTitle="超出范围" error="曝光时间的范围是14us-1s" sqref="B9">
      <formula1>14</formula1>
      <formula2>1000000</formula2>
    </dataValidation>
    <dataValidation type="list" allowBlank="1" showInputMessage="1" showErrorMessage="1" sqref="D67">
      <formula1>"1000,10000"</formula1>
    </dataValidation>
    <dataValidation type="custom" allowBlank="1" showInputMessage="1" showErrorMessage="1" errorTitle="输入数值非法" error="输入范围是2~图像高度最大值，步长为2" sqref="B5">
      <formula1>AND((B5&lt;=B3),(B5&gt;=2),(MOD(B5,2)=0))</formula1>
    </dataValidation>
    <dataValidation type="custom" allowBlank="1" showInputMessage="1" showErrorMessage="1" error="输入参数值为1或者2，并且当水平像素抽样不为1时不能输入" sqref="B6">
      <formula1>AND(OR((B6=1),(B6=2)),B7=1)</formula1>
    </dataValidation>
    <dataValidation type="custom" allowBlank="1" showInputMessage="1" showErrorMessage="1" error="输入参数值为1或者2，并且当水平像素抽样不为1时不能输入" sqref="B7">
      <formula1>AND(OR((B7=1),(B7=2)),B6=1)</formula1>
    </dataValidation>
    <dataValidation type="custom" allowBlank="1" showInputMessage="1" showErrorMessage="1" error="请输入8或者12" sqref="B10">
      <formula1>OR((B10=8),(B10=12))</formula1>
    </dataValidation>
    <dataValidation type="custom" allowBlank="1" showInputMessage="1" showErrorMessage="1" error="请输入10000或者1000" sqref="B11">
      <formula1>OR((B11=10000),(B11=1000))</formula1>
    </dataValidation>
    <dataValidation type="list" allowBlank="1" showInputMessage="1" showErrorMessage="1" errorTitle="超出范围" error="请输入0或者1" sqref="B12 B20">
      <formula1>"0,1"</formula1>
    </dataValidation>
    <dataValidation type="custom" allowBlank="1" showInputMessage="1" showErrorMessage="1" error="设置值范围0.1~10000.0，精确到一位小数" sqref="B13">
      <formula1>AND(TRUNC(B13,1)=B13,(B13&gt;=0.1),(B13&lt;=10000))</formula1>
    </dataValidation>
    <dataValidation type="list" allowBlank="1" showInputMessage="1" showErrorMessage="1" sqref="C41">
      <formula1>$AU$42:$AU$45</formula1>
    </dataValidation>
    <dataValidation type="whole" allowBlank="1" showInputMessage="1" showErrorMessage="1" error="输入范围是[0,5000]，单位为us" sqref="B19">
      <formula1>0</formula1>
      <formula2>5000</formula2>
    </dataValidation>
    <dataValidation type="whole" allowBlank="1" showInputMessage="1" showErrorMessage="1" error="设置范围为0~预留带宽最大值" sqref="B14">
      <formula1>0</formula1>
      <formula2>B15</formula2>
    </dataValidation>
    <dataValidation type="custom" allowBlank="1" showInputMessage="1" showErrorMessage="1" error="输入范围是512~8192，步长为4" sqref="B18 C27">
      <formula1>AND((B18&lt;=8192),(B18&gt;=512),(MOD(B18,4)=0))</formula1>
    </dataValidation>
    <dataValidation type="whole" allowBlank="1" showInputMessage="1" showErrorMessage="1" errorTitle="设置值超出范围" error="包间隔设置值超出范围" sqref="D69">
      <formula1>J75</formula1>
      <formula2>J64</formula2>
    </dataValidation>
    <dataValidation type="whole" allowBlank="1" showInputMessage="1" showErrorMessage="1" errorTitle="输入数值非法" error="最小值2，最大值1000000" sqref="D51">
      <formula1>0</formula1>
      <formula2>1000000</formula2>
    </dataValidation>
    <dataValidation type="list" allowBlank="1" showInputMessage="1" showErrorMessage="1" sqref="C40">
      <formula1>$S$42:$S$56</formula1>
    </dataValidation>
    <dataValidation type="list" allowBlank="1" showInputMessage="1" showErrorMessage="1" sqref="D45">
      <formula1>"8,12"</formula1>
    </dataValidation>
    <dataValidation type="list" allowBlank="1" showInputMessage="1" showErrorMessage="1" errorTitle="超出范围" error="曝光时间的范围是14us-1s" sqref="D47">
      <formula1>"Timed,TriggerWidth"</formula1>
    </dataValidation>
    <dataValidation type="whole" allowBlank="1" showInputMessage="1" showErrorMessage="1" errorTitle="超出范围" error="曝光时间的范围是14us-1s" sqref="D48">
      <formula1>4</formula1>
      <formula2>1000000</formula2>
    </dataValidation>
    <dataValidation type="whole" allowBlank="1" showInputMessage="1" showErrorMessage="1" errorTitle="超出范围" error="曝光延迟的范围是0-5000us" sqref="D49">
      <formula1>0</formula1>
      <formula2>5000</formula2>
    </dataValidation>
    <dataValidation type="whole" allowBlank="1" showInputMessage="1" showErrorMessage="1" errorTitle="输入数值非法" error="最小值4，最大值D12" sqref="D50">
      <formula1>0</formula1>
      <formula2>(D61*D79+P47+P52+P54)*J43/1000+1</formula2>
    </dataValidation>
    <dataValidation type="whole" allowBlank="1" showInputMessage="1" showErrorMessage="1" errorTitle="超出范围" error="触发延时的范围是0-3000000us" sqref="D56">
      <formula1>0</formula1>
      <formula2>3000000</formula2>
    </dataValidation>
    <dataValidation type="whole" allowBlank="1" showInputMessage="1" showErrorMessage="1" errorTitle="输入数值非法" error="最小值4，最大值D12" sqref="D60">
      <formula1>4</formula1>
      <formula2>C60</formula2>
    </dataValidation>
    <dataValidation type="whole" allowBlank="1" showInputMessage="1" showErrorMessage="1" errorTitle="输入数值非法" error="最小值2，最大值D13" sqref="D61">
      <formula1>2</formula1>
      <formula2>C61</formula2>
    </dataValidation>
    <dataValidation type="list" allowBlank="1" showInputMessage="1" showErrorMessage="1" sqref="D63 D65 D53:D54">
      <formula1>"0,1"</formula1>
    </dataValidation>
    <dataValidation type="custom" allowBlank="1" showInputMessage="1" showErrorMessage="1" sqref="D68">
      <formula1>AND(MOD(D68,4)=0,D68&gt;=512,D68&lt;=16384)</formula1>
    </dataValidation>
    <dataValidation type="list" allowBlank="1" showInputMessage="1" showErrorMessage="1" errorTitle="超出范围" error="0:关闭_x000a_1:打开" sqref="D72">
      <formula1>"0,1"</formula1>
    </dataValidation>
    <dataValidation type="decimal" allowBlank="1" showInputMessage="1" showErrorMessage="1" sqref="D73">
      <formula1>0.1</formula1>
      <formula2>10000</formula2>
    </dataValidation>
    <dataValidation type="whole" operator="lessThanOrEqual" allowBlank="1" showInputMessage="1" showErrorMessage="1" error="Binning/Skipping系数最大为2" prompt="设置水平Binning/Skipping时，需要同步修改水平ROI" sqref="D75 D78">
      <formula1>2</formula1>
    </dataValidation>
    <dataValidation type="whole" operator="lessThanOrEqual" allowBlank="1" showInputMessage="1" showErrorMessage="1" error="Binning/Skipping系数最大为2" prompt="设置垂直Binning/Skipping时，需要同步修改垂直ROI" sqref="D76 D79">
      <formula1>2</formula1>
    </dataValidation>
    <dataValidation type="whole" operator="lessThanOrEqual" allowBlank="1" showInputMessage="1" showErrorMessage="1" sqref="D58:D59">
      <formula1>D60</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F145"/>
  <sheetViews>
    <sheetView workbookViewId="0">
      <selection activeCell="B4" sqref="B4"/>
    </sheetView>
  </sheetViews>
  <sheetFormatPr defaultColWidth="9" defaultRowHeight="30" customHeight="1"/>
  <cols>
    <col min="1" max="1" width="30.625" style="743" customWidth="1"/>
    <col min="2" max="2" width="18.625" style="743" customWidth="1"/>
    <col min="3" max="3" width="21.75" style="743" customWidth="1"/>
    <col min="4" max="10" width="9" style="743"/>
    <col min="11" max="11" width="28.625" style="743" customWidth="1"/>
    <col min="12" max="12" width="16" style="743" customWidth="1"/>
    <col min="13" max="13" width="14.875" style="743" customWidth="1"/>
    <col min="14" max="14" width="11.625" style="743" customWidth="1"/>
    <col min="15" max="15" width="6.75" style="743" customWidth="1"/>
    <col min="16" max="16" width="4.5" style="743" customWidth="1"/>
    <col min="17" max="17" width="17.75" style="743" customWidth="1"/>
    <col min="18" max="18" width="15.75" style="743" customWidth="1"/>
    <col min="19" max="19" width="57.375" style="743" customWidth="1"/>
    <col min="20" max="20" width="18.25" style="743" customWidth="1"/>
    <col min="21" max="22" width="4.5" style="743" customWidth="1"/>
    <col min="23" max="23" width="25.625" style="743" customWidth="1"/>
    <col min="24" max="24" width="22.875" style="743" customWidth="1"/>
    <col min="25" max="25" width="43.5" style="743" customWidth="1"/>
    <col min="26" max="26" width="10.25" style="743" customWidth="1"/>
    <col min="27" max="27" width="6.375" style="743" customWidth="1"/>
    <col min="28" max="28" width="4.875" style="743" customWidth="1"/>
    <col min="29" max="29" width="26.5" style="743" customWidth="1"/>
    <col min="30" max="30" width="13.125" style="743" customWidth="1"/>
    <col min="31" max="31" width="20.625" style="743" customWidth="1"/>
    <col min="32" max="32" width="23.375" style="743" customWidth="1"/>
    <col min="33" max="33" width="14.125" style="743" customWidth="1"/>
    <col min="34" max="34" width="18.875" style="743" customWidth="1"/>
    <col min="35" max="35" width="12" style="743" customWidth="1"/>
    <col min="36" max="36" width="14" style="743" customWidth="1"/>
    <col min="37" max="37" width="17" style="743" customWidth="1"/>
    <col min="38" max="38" width="20.375" style="743" customWidth="1"/>
    <col min="39" max="39" width="21" style="743" customWidth="1"/>
    <col min="40" max="40" width="20.25" style="743" customWidth="1"/>
    <col min="41" max="41" width="21.5" style="743" customWidth="1"/>
    <col min="42" max="42" width="24.125" style="743" customWidth="1"/>
    <col min="43" max="43" width="11.625" style="743" customWidth="1"/>
    <col min="44" max="44" width="21.625" style="743" customWidth="1"/>
    <col min="45" max="45" width="17.25" style="743" customWidth="1"/>
    <col min="46" max="46" width="13.5" style="743" customWidth="1"/>
    <col min="47" max="47" width="12.875" style="743" customWidth="1"/>
    <col min="48" max="50" width="21.625" style="743" customWidth="1"/>
    <col min="51" max="51" width="19.375" style="743" customWidth="1"/>
    <col min="52" max="56" width="20.25" style="743" customWidth="1"/>
    <col min="57" max="57" width="23" style="743" customWidth="1"/>
    <col min="58" max="58" width="10" style="743" customWidth="1"/>
    <col min="59" max="256" width="9" style="743"/>
    <col min="257" max="257" width="22.25" style="743" customWidth="1"/>
    <col min="258" max="258" width="32.375" style="743" customWidth="1"/>
    <col min="259" max="259" width="21.75" style="743" customWidth="1"/>
    <col min="260" max="266" width="9" style="743"/>
    <col min="267" max="267" width="28.625" style="743" customWidth="1"/>
    <col min="268" max="268" width="16" style="743" customWidth="1"/>
    <col min="269" max="269" width="14.875" style="743" customWidth="1"/>
    <col min="270" max="270" width="11.625" style="743" customWidth="1"/>
    <col min="271" max="271" width="6.75" style="743" customWidth="1"/>
    <col min="272" max="272" width="4.5" style="743" customWidth="1"/>
    <col min="273" max="273" width="17.75" style="743" customWidth="1"/>
    <col min="274" max="274" width="15.75" style="743" customWidth="1"/>
    <col min="275" max="275" width="57.375" style="743" customWidth="1"/>
    <col min="276" max="276" width="18.25" style="743" customWidth="1"/>
    <col min="277" max="278" width="4.5" style="743" customWidth="1"/>
    <col min="279" max="279" width="25.625" style="743" customWidth="1"/>
    <col min="280" max="280" width="22.875" style="743" customWidth="1"/>
    <col min="281" max="281" width="43.5" style="743" customWidth="1"/>
    <col min="282" max="282" width="10.25" style="743" customWidth="1"/>
    <col min="283" max="283" width="6.375" style="743" customWidth="1"/>
    <col min="284" max="284" width="4.875" style="743" customWidth="1"/>
    <col min="285" max="285" width="26.5" style="743" customWidth="1"/>
    <col min="286" max="286" width="13.125" style="743" customWidth="1"/>
    <col min="287" max="287" width="20.625" style="743" customWidth="1"/>
    <col min="288" max="288" width="23.375" style="743" customWidth="1"/>
    <col min="289" max="289" width="14.125" style="743" customWidth="1"/>
    <col min="290" max="290" width="18.875" style="743" customWidth="1"/>
    <col min="291" max="291" width="12" style="743" customWidth="1"/>
    <col min="292" max="292" width="14" style="743" customWidth="1"/>
    <col min="293" max="293" width="17" style="743" customWidth="1"/>
    <col min="294" max="294" width="20.375" style="743" customWidth="1"/>
    <col min="295" max="295" width="21" style="743" customWidth="1"/>
    <col min="296" max="296" width="20.25" style="743" customWidth="1"/>
    <col min="297" max="297" width="21.5" style="743" customWidth="1"/>
    <col min="298" max="298" width="24.125" style="743" customWidth="1"/>
    <col min="299" max="299" width="11.625" style="743" customWidth="1"/>
    <col min="300" max="300" width="21.625" style="743" customWidth="1"/>
    <col min="301" max="301" width="17.25" style="743" customWidth="1"/>
    <col min="302" max="302" width="13.5" style="743" customWidth="1"/>
    <col min="303" max="303" width="12.875" style="743" customWidth="1"/>
    <col min="304" max="306" width="21.625" style="743" customWidth="1"/>
    <col min="307" max="307" width="19.375" style="743" customWidth="1"/>
    <col min="308" max="312" width="20.25" style="743" customWidth="1"/>
    <col min="313" max="313" width="23" style="743" customWidth="1"/>
    <col min="314" max="314" width="10" style="743" customWidth="1"/>
    <col min="315" max="512" width="9" style="743"/>
    <col min="513" max="513" width="22.25" style="743" customWidth="1"/>
    <col min="514" max="514" width="32.375" style="743" customWidth="1"/>
    <col min="515" max="515" width="21.75" style="743" customWidth="1"/>
    <col min="516" max="522" width="9" style="743"/>
    <col min="523" max="523" width="28.625" style="743" customWidth="1"/>
    <col min="524" max="524" width="16" style="743" customWidth="1"/>
    <col min="525" max="525" width="14.875" style="743" customWidth="1"/>
    <col min="526" max="526" width="11.625" style="743" customWidth="1"/>
    <col min="527" max="527" width="6.75" style="743" customWidth="1"/>
    <col min="528" max="528" width="4.5" style="743" customWidth="1"/>
    <col min="529" max="529" width="17.75" style="743" customWidth="1"/>
    <col min="530" max="530" width="15.75" style="743" customWidth="1"/>
    <col min="531" max="531" width="57.375" style="743" customWidth="1"/>
    <col min="532" max="532" width="18.25" style="743" customWidth="1"/>
    <col min="533" max="534" width="4.5" style="743" customWidth="1"/>
    <col min="535" max="535" width="25.625" style="743" customWidth="1"/>
    <col min="536" max="536" width="22.875" style="743" customWidth="1"/>
    <col min="537" max="537" width="43.5" style="743" customWidth="1"/>
    <col min="538" max="538" width="10.25" style="743" customWidth="1"/>
    <col min="539" max="539" width="6.375" style="743" customWidth="1"/>
    <col min="540" max="540" width="4.875" style="743" customWidth="1"/>
    <col min="541" max="541" width="26.5" style="743" customWidth="1"/>
    <col min="542" max="542" width="13.125" style="743" customWidth="1"/>
    <col min="543" max="543" width="20.625" style="743" customWidth="1"/>
    <col min="544" max="544" width="23.375" style="743" customWidth="1"/>
    <col min="545" max="545" width="14.125" style="743" customWidth="1"/>
    <col min="546" max="546" width="18.875" style="743" customWidth="1"/>
    <col min="547" max="547" width="12" style="743" customWidth="1"/>
    <col min="548" max="548" width="14" style="743" customWidth="1"/>
    <col min="549" max="549" width="17" style="743" customWidth="1"/>
    <col min="550" max="550" width="20.375" style="743" customWidth="1"/>
    <col min="551" max="551" width="21" style="743" customWidth="1"/>
    <col min="552" max="552" width="20.25" style="743" customWidth="1"/>
    <col min="553" max="553" width="21.5" style="743" customWidth="1"/>
    <col min="554" max="554" width="24.125" style="743" customWidth="1"/>
    <col min="555" max="555" width="11.625" style="743" customWidth="1"/>
    <col min="556" max="556" width="21.625" style="743" customWidth="1"/>
    <col min="557" max="557" width="17.25" style="743" customWidth="1"/>
    <col min="558" max="558" width="13.5" style="743" customWidth="1"/>
    <col min="559" max="559" width="12.875" style="743" customWidth="1"/>
    <col min="560" max="562" width="21.625" style="743" customWidth="1"/>
    <col min="563" max="563" width="19.375" style="743" customWidth="1"/>
    <col min="564" max="568" width="20.25" style="743" customWidth="1"/>
    <col min="569" max="569" width="23" style="743" customWidth="1"/>
    <col min="570" max="570" width="10" style="743" customWidth="1"/>
    <col min="571" max="768" width="9" style="743"/>
    <col min="769" max="769" width="22.25" style="743" customWidth="1"/>
    <col min="770" max="770" width="32.375" style="743" customWidth="1"/>
    <col min="771" max="771" width="21.75" style="743" customWidth="1"/>
    <col min="772" max="778" width="9" style="743"/>
    <col min="779" max="779" width="28.625" style="743" customWidth="1"/>
    <col min="780" max="780" width="16" style="743" customWidth="1"/>
    <col min="781" max="781" width="14.875" style="743" customWidth="1"/>
    <col min="782" max="782" width="11.625" style="743" customWidth="1"/>
    <col min="783" max="783" width="6.75" style="743" customWidth="1"/>
    <col min="784" max="784" width="4.5" style="743" customWidth="1"/>
    <col min="785" max="785" width="17.75" style="743" customWidth="1"/>
    <col min="786" max="786" width="15.75" style="743" customWidth="1"/>
    <col min="787" max="787" width="57.375" style="743" customWidth="1"/>
    <col min="788" max="788" width="18.25" style="743" customWidth="1"/>
    <col min="789" max="790" width="4.5" style="743" customWidth="1"/>
    <col min="791" max="791" width="25.625" style="743" customWidth="1"/>
    <col min="792" max="792" width="22.875" style="743" customWidth="1"/>
    <col min="793" max="793" width="43.5" style="743" customWidth="1"/>
    <col min="794" max="794" width="10.25" style="743" customWidth="1"/>
    <col min="795" max="795" width="6.375" style="743" customWidth="1"/>
    <col min="796" max="796" width="4.875" style="743" customWidth="1"/>
    <col min="797" max="797" width="26.5" style="743" customWidth="1"/>
    <col min="798" max="798" width="13.125" style="743" customWidth="1"/>
    <col min="799" max="799" width="20.625" style="743" customWidth="1"/>
    <col min="800" max="800" width="23.375" style="743" customWidth="1"/>
    <col min="801" max="801" width="14.125" style="743" customWidth="1"/>
    <col min="802" max="802" width="18.875" style="743" customWidth="1"/>
    <col min="803" max="803" width="12" style="743" customWidth="1"/>
    <col min="804" max="804" width="14" style="743" customWidth="1"/>
    <col min="805" max="805" width="17" style="743" customWidth="1"/>
    <col min="806" max="806" width="20.375" style="743" customWidth="1"/>
    <col min="807" max="807" width="21" style="743" customWidth="1"/>
    <col min="808" max="808" width="20.25" style="743" customWidth="1"/>
    <col min="809" max="809" width="21.5" style="743" customWidth="1"/>
    <col min="810" max="810" width="24.125" style="743" customWidth="1"/>
    <col min="811" max="811" width="11.625" style="743" customWidth="1"/>
    <col min="812" max="812" width="21.625" style="743" customWidth="1"/>
    <col min="813" max="813" width="17.25" style="743" customWidth="1"/>
    <col min="814" max="814" width="13.5" style="743" customWidth="1"/>
    <col min="815" max="815" width="12.875" style="743" customWidth="1"/>
    <col min="816" max="818" width="21.625" style="743" customWidth="1"/>
    <col min="819" max="819" width="19.375" style="743" customWidth="1"/>
    <col min="820" max="824" width="20.25" style="743" customWidth="1"/>
    <col min="825" max="825" width="23" style="743" customWidth="1"/>
    <col min="826" max="826" width="10" style="743" customWidth="1"/>
    <col min="827" max="1024" width="9" style="743"/>
    <col min="1025" max="1025" width="22.25" style="743" customWidth="1"/>
    <col min="1026" max="1026" width="32.375" style="743" customWidth="1"/>
    <col min="1027" max="1027" width="21.75" style="743" customWidth="1"/>
    <col min="1028" max="1034" width="9" style="743"/>
    <col min="1035" max="1035" width="28.625" style="743" customWidth="1"/>
    <col min="1036" max="1036" width="16" style="743" customWidth="1"/>
    <col min="1037" max="1037" width="14.875" style="743" customWidth="1"/>
    <col min="1038" max="1038" width="11.625" style="743" customWidth="1"/>
    <col min="1039" max="1039" width="6.75" style="743" customWidth="1"/>
    <col min="1040" max="1040" width="4.5" style="743" customWidth="1"/>
    <col min="1041" max="1041" width="17.75" style="743" customWidth="1"/>
    <col min="1042" max="1042" width="15.75" style="743" customWidth="1"/>
    <col min="1043" max="1043" width="57.375" style="743" customWidth="1"/>
    <col min="1044" max="1044" width="18.25" style="743" customWidth="1"/>
    <col min="1045" max="1046" width="4.5" style="743" customWidth="1"/>
    <col min="1047" max="1047" width="25.625" style="743" customWidth="1"/>
    <col min="1048" max="1048" width="22.875" style="743" customWidth="1"/>
    <col min="1049" max="1049" width="43.5" style="743" customWidth="1"/>
    <col min="1050" max="1050" width="10.25" style="743" customWidth="1"/>
    <col min="1051" max="1051" width="6.375" style="743" customWidth="1"/>
    <col min="1052" max="1052" width="4.875" style="743" customWidth="1"/>
    <col min="1053" max="1053" width="26.5" style="743" customWidth="1"/>
    <col min="1054" max="1054" width="13.125" style="743" customWidth="1"/>
    <col min="1055" max="1055" width="20.625" style="743" customWidth="1"/>
    <col min="1056" max="1056" width="23.375" style="743" customWidth="1"/>
    <col min="1057" max="1057" width="14.125" style="743" customWidth="1"/>
    <col min="1058" max="1058" width="18.875" style="743" customWidth="1"/>
    <col min="1059" max="1059" width="12" style="743" customWidth="1"/>
    <col min="1060" max="1060" width="14" style="743" customWidth="1"/>
    <col min="1061" max="1061" width="17" style="743" customWidth="1"/>
    <col min="1062" max="1062" width="20.375" style="743" customWidth="1"/>
    <col min="1063" max="1063" width="21" style="743" customWidth="1"/>
    <col min="1064" max="1064" width="20.25" style="743" customWidth="1"/>
    <col min="1065" max="1065" width="21.5" style="743" customWidth="1"/>
    <col min="1066" max="1066" width="24.125" style="743" customWidth="1"/>
    <col min="1067" max="1067" width="11.625" style="743" customWidth="1"/>
    <col min="1068" max="1068" width="21.625" style="743" customWidth="1"/>
    <col min="1069" max="1069" width="17.25" style="743" customWidth="1"/>
    <col min="1070" max="1070" width="13.5" style="743" customWidth="1"/>
    <col min="1071" max="1071" width="12.875" style="743" customWidth="1"/>
    <col min="1072" max="1074" width="21.625" style="743" customWidth="1"/>
    <col min="1075" max="1075" width="19.375" style="743" customWidth="1"/>
    <col min="1076" max="1080" width="20.25" style="743" customWidth="1"/>
    <col min="1081" max="1081" width="23" style="743" customWidth="1"/>
    <col min="1082" max="1082" width="10" style="743" customWidth="1"/>
    <col min="1083" max="1280" width="9" style="743"/>
    <col min="1281" max="1281" width="22.25" style="743" customWidth="1"/>
    <col min="1282" max="1282" width="32.375" style="743" customWidth="1"/>
    <col min="1283" max="1283" width="21.75" style="743" customWidth="1"/>
    <col min="1284" max="1290" width="9" style="743"/>
    <col min="1291" max="1291" width="28.625" style="743" customWidth="1"/>
    <col min="1292" max="1292" width="16" style="743" customWidth="1"/>
    <col min="1293" max="1293" width="14.875" style="743" customWidth="1"/>
    <col min="1294" max="1294" width="11.625" style="743" customWidth="1"/>
    <col min="1295" max="1295" width="6.75" style="743" customWidth="1"/>
    <col min="1296" max="1296" width="4.5" style="743" customWidth="1"/>
    <col min="1297" max="1297" width="17.75" style="743" customWidth="1"/>
    <col min="1298" max="1298" width="15.75" style="743" customWidth="1"/>
    <col min="1299" max="1299" width="57.375" style="743" customWidth="1"/>
    <col min="1300" max="1300" width="18.25" style="743" customWidth="1"/>
    <col min="1301" max="1302" width="4.5" style="743" customWidth="1"/>
    <col min="1303" max="1303" width="25.625" style="743" customWidth="1"/>
    <col min="1304" max="1304" width="22.875" style="743" customWidth="1"/>
    <col min="1305" max="1305" width="43.5" style="743" customWidth="1"/>
    <col min="1306" max="1306" width="10.25" style="743" customWidth="1"/>
    <col min="1307" max="1307" width="6.375" style="743" customWidth="1"/>
    <col min="1308" max="1308" width="4.875" style="743" customWidth="1"/>
    <col min="1309" max="1309" width="26.5" style="743" customWidth="1"/>
    <col min="1310" max="1310" width="13.125" style="743" customWidth="1"/>
    <col min="1311" max="1311" width="20.625" style="743" customWidth="1"/>
    <col min="1312" max="1312" width="23.375" style="743" customWidth="1"/>
    <col min="1313" max="1313" width="14.125" style="743" customWidth="1"/>
    <col min="1314" max="1314" width="18.875" style="743" customWidth="1"/>
    <col min="1315" max="1315" width="12" style="743" customWidth="1"/>
    <col min="1316" max="1316" width="14" style="743" customWidth="1"/>
    <col min="1317" max="1317" width="17" style="743" customWidth="1"/>
    <col min="1318" max="1318" width="20.375" style="743" customWidth="1"/>
    <col min="1319" max="1319" width="21" style="743" customWidth="1"/>
    <col min="1320" max="1320" width="20.25" style="743" customWidth="1"/>
    <col min="1321" max="1321" width="21.5" style="743" customWidth="1"/>
    <col min="1322" max="1322" width="24.125" style="743" customWidth="1"/>
    <col min="1323" max="1323" width="11.625" style="743" customWidth="1"/>
    <col min="1324" max="1324" width="21.625" style="743" customWidth="1"/>
    <col min="1325" max="1325" width="17.25" style="743" customWidth="1"/>
    <col min="1326" max="1326" width="13.5" style="743" customWidth="1"/>
    <col min="1327" max="1327" width="12.875" style="743" customWidth="1"/>
    <col min="1328" max="1330" width="21.625" style="743" customWidth="1"/>
    <col min="1331" max="1331" width="19.375" style="743" customWidth="1"/>
    <col min="1332" max="1336" width="20.25" style="743" customWidth="1"/>
    <col min="1337" max="1337" width="23" style="743" customWidth="1"/>
    <col min="1338" max="1338" width="10" style="743" customWidth="1"/>
    <col min="1339" max="1536" width="9" style="743"/>
    <col min="1537" max="1537" width="22.25" style="743" customWidth="1"/>
    <col min="1538" max="1538" width="32.375" style="743" customWidth="1"/>
    <col min="1539" max="1539" width="21.75" style="743" customWidth="1"/>
    <col min="1540" max="1546" width="9" style="743"/>
    <col min="1547" max="1547" width="28.625" style="743" customWidth="1"/>
    <col min="1548" max="1548" width="16" style="743" customWidth="1"/>
    <col min="1549" max="1549" width="14.875" style="743" customWidth="1"/>
    <col min="1550" max="1550" width="11.625" style="743" customWidth="1"/>
    <col min="1551" max="1551" width="6.75" style="743" customWidth="1"/>
    <col min="1552" max="1552" width="4.5" style="743" customWidth="1"/>
    <col min="1553" max="1553" width="17.75" style="743" customWidth="1"/>
    <col min="1554" max="1554" width="15.75" style="743" customWidth="1"/>
    <col min="1555" max="1555" width="57.375" style="743" customWidth="1"/>
    <col min="1556" max="1556" width="18.25" style="743" customWidth="1"/>
    <col min="1557" max="1558" width="4.5" style="743" customWidth="1"/>
    <col min="1559" max="1559" width="25.625" style="743" customWidth="1"/>
    <col min="1560" max="1560" width="22.875" style="743" customWidth="1"/>
    <col min="1561" max="1561" width="43.5" style="743" customWidth="1"/>
    <col min="1562" max="1562" width="10.25" style="743" customWidth="1"/>
    <col min="1563" max="1563" width="6.375" style="743" customWidth="1"/>
    <col min="1564" max="1564" width="4.875" style="743" customWidth="1"/>
    <col min="1565" max="1565" width="26.5" style="743" customWidth="1"/>
    <col min="1566" max="1566" width="13.125" style="743" customWidth="1"/>
    <col min="1567" max="1567" width="20.625" style="743" customWidth="1"/>
    <col min="1568" max="1568" width="23.375" style="743" customWidth="1"/>
    <col min="1569" max="1569" width="14.125" style="743" customWidth="1"/>
    <col min="1570" max="1570" width="18.875" style="743" customWidth="1"/>
    <col min="1571" max="1571" width="12" style="743" customWidth="1"/>
    <col min="1572" max="1572" width="14" style="743" customWidth="1"/>
    <col min="1573" max="1573" width="17" style="743" customWidth="1"/>
    <col min="1574" max="1574" width="20.375" style="743" customWidth="1"/>
    <col min="1575" max="1575" width="21" style="743" customWidth="1"/>
    <col min="1576" max="1576" width="20.25" style="743" customWidth="1"/>
    <col min="1577" max="1577" width="21.5" style="743" customWidth="1"/>
    <col min="1578" max="1578" width="24.125" style="743" customWidth="1"/>
    <col min="1579" max="1579" width="11.625" style="743" customWidth="1"/>
    <col min="1580" max="1580" width="21.625" style="743" customWidth="1"/>
    <col min="1581" max="1581" width="17.25" style="743" customWidth="1"/>
    <col min="1582" max="1582" width="13.5" style="743" customWidth="1"/>
    <col min="1583" max="1583" width="12.875" style="743" customWidth="1"/>
    <col min="1584" max="1586" width="21.625" style="743" customWidth="1"/>
    <col min="1587" max="1587" width="19.375" style="743" customWidth="1"/>
    <col min="1588" max="1592" width="20.25" style="743" customWidth="1"/>
    <col min="1593" max="1593" width="23" style="743" customWidth="1"/>
    <col min="1594" max="1594" width="10" style="743" customWidth="1"/>
    <col min="1595" max="1792" width="9" style="743"/>
    <col min="1793" max="1793" width="22.25" style="743" customWidth="1"/>
    <col min="1794" max="1794" width="32.375" style="743" customWidth="1"/>
    <col min="1795" max="1795" width="21.75" style="743" customWidth="1"/>
    <col min="1796" max="1802" width="9" style="743"/>
    <col min="1803" max="1803" width="28.625" style="743" customWidth="1"/>
    <col min="1804" max="1804" width="16" style="743" customWidth="1"/>
    <col min="1805" max="1805" width="14.875" style="743" customWidth="1"/>
    <col min="1806" max="1806" width="11.625" style="743" customWidth="1"/>
    <col min="1807" max="1807" width="6.75" style="743" customWidth="1"/>
    <col min="1808" max="1808" width="4.5" style="743" customWidth="1"/>
    <col min="1809" max="1809" width="17.75" style="743" customWidth="1"/>
    <col min="1810" max="1810" width="15.75" style="743" customWidth="1"/>
    <col min="1811" max="1811" width="57.375" style="743" customWidth="1"/>
    <col min="1812" max="1812" width="18.25" style="743" customWidth="1"/>
    <col min="1813" max="1814" width="4.5" style="743" customWidth="1"/>
    <col min="1815" max="1815" width="25.625" style="743" customWidth="1"/>
    <col min="1816" max="1816" width="22.875" style="743" customWidth="1"/>
    <col min="1817" max="1817" width="43.5" style="743" customWidth="1"/>
    <col min="1818" max="1818" width="10.25" style="743" customWidth="1"/>
    <col min="1819" max="1819" width="6.375" style="743" customWidth="1"/>
    <col min="1820" max="1820" width="4.875" style="743" customWidth="1"/>
    <col min="1821" max="1821" width="26.5" style="743" customWidth="1"/>
    <col min="1822" max="1822" width="13.125" style="743" customWidth="1"/>
    <col min="1823" max="1823" width="20.625" style="743" customWidth="1"/>
    <col min="1824" max="1824" width="23.375" style="743" customWidth="1"/>
    <col min="1825" max="1825" width="14.125" style="743" customWidth="1"/>
    <col min="1826" max="1826" width="18.875" style="743" customWidth="1"/>
    <col min="1827" max="1827" width="12" style="743" customWidth="1"/>
    <col min="1828" max="1828" width="14" style="743" customWidth="1"/>
    <col min="1829" max="1829" width="17" style="743" customWidth="1"/>
    <col min="1830" max="1830" width="20.375" style="743" customWidth="1"/>
    <col min="1831" max="1831" width="21" style="743" customWidth="1"/>
    <col min="1832" max="1832" width="20.25" style="743" customWidth="1"/>
    <col min="1833" max="1833" width="21.5" style="743" customWidth="1"/>
    <col min="1834" max="1834" width="24.125" style="743" customWidth="1"/>
    <col min="1835" max="1835" width="11.625" style="743" customWidth="1"/>
    <col min="1836" max="1836" width="21.625" style="743" customWidth="1"/>
    <col min="1837" max="1837" width="17.25" style="743" customWidth="1"/>
    <col min="1838" max="1838" width="13.5" style="743" customWidth="1"/>
    <col min="1839" max="1839" width="12.875" style="743" customWidth="1"/>
    <col min="1840" max="1842" width="21.625" style="743" customWidth="1"/>
    <col min="1843" max="1843" width="19.375" style="743" customWidth="1"/>
    <col min="1844" max="1848" width="20.25" style="743" customWidth="1"/>
    <col min="1849" max="1849" width="23" style="743" customWidth="1"/>
    <col min="1850" max="1850" width="10" style="743" customWidth="1"/>
    <col min="1851" max="2048" width="9" style="743"/>
    <col min="2049" max="2049" width="22.25" style="743" customWidth="1"/>
    <col min="2050" max="2050" width="32.375" style="743" customWidth="1"/>
    <col min="2051" max="2051" width="21.75" style="743" customWidth="1"/>
    <col min="2052" max="2058" width="9" style="743"/>
    <col min="2059" max="2059" width="28.625" style="743" customWidth="1"/>
    <col min="2060" max="2060" width="16" style="743" customWidth="1"/>
    <col min="2061" max="2061" width="14.875" style="743" customWidth="1"/>
    <col min="2062" max="2062" width="11.625" style="743" customWidth="1"/>
    <col min="2063" max="2063" width="6.75" style="743" customWidth="1"/>
    <col min="2064" max="2064" width="4.5" style="743" customWidth="1"/>
    <col min="2065" max="2065" width="17.75" style="743" customWidth="1"/>
    <col min="2066" max="2066" width="15.75" style="743" customWidth="1"/>
    <col min="2067" max="2067" width="57.375" style="743" customWidth="1"/>
    <col min="2068" max="2068" width="18.25" style="743" customWidth="1"/>
    <col min="2069" max="2070" width="4.5" style="743" customWidth="1"/>
    <col min="2071" max="2071" width="25.625" style="743" customWidth="1"/>
    <col min="2072" max="2072" width="22.875" style="743" customWidth="1"/>
    <col min="2073" max="2073" width="43.5" style="743" customWidth="1"/>
    <col min="2074" max="2074" width="10.25" style="743" customWidth="1"/>
    <col min="2075" max="2075" width="6.375" style="743" customWidth="1"/>
    <col min="2076" max="2076" width="4.875" style="743" customWidth="1"/>
    <col min="2077" max="2077" width="26.5" style="743" customWidth="1"/>
    <col min="2078" max="2078" width="13.125" style="743" customWidth="1"/>
    <col min="2079" max="2079" width="20.625" style="743" customWidth="1"/>
    <col min="2080" max="2080" width="23.375" style="743" customWidth="1"/>
    <col min="2081" max="2081" width="14.125" style="743" customWidth="1"/>
    <col min="2082" max="2082" width="18.875" style="743" customWidth="1"/>
    <col min="2083" max="2083" width="12" style="743" customWidth="1"/>
    <col min="2084" max="2084" width="14" style="743" customWidth="1"/>
    <col min="2085" max="2085" width="17" style="743" customWidth="1"/>
    <col min="2086" max="2086" width="20.375" style="743" customWidth="1"/>
    <col min="2087" max="2087" width="21" style="743" customWidth="1"/>
    <col min="2088" max="2088" width="20.25" style="743" customWidth="1"/>
    <col min="2089" max="2089" width="21.5" style="743" customWidth="1"/>
    <col min="2090" max="2090" width="24.125" style="743" customWidth="1"/>
    <col min="2091" max="2091" width="11.625" style="743" customWidth="1"/>
    <col min="2092" max="2092" width="21.625" style="743" customWidth="1"/>
    <col min="2093" max="2093" width="17.25" style="743" customWidth="1"/>
    <col min="2094" max="2094" width="13.5" style="743" customWidth="1"/>
    <col min="2095" max="2095" width="12.875" style="743" customWidth="1"/>
    <col min="2096" max="2098" width="21.625" style="743" customWidth="1"/>
    <col min="2099" max="2099" width="19.375" style="743" customWidth="1"/>
    <col min="2100" max="2104" width="20.25" style="743" customWidth="1"/>
    <col min="2105" max="2105" width="23" style="743" customWidth="1"/>
    <col min="2106" max="2106" width="10" style="743" customWidth="1"/>
    <col min="2107" max="2304" width="9" style="743"/>
    <col min="2305" max="2305" width="22.25" style="743" customWidth="1"/>
    <col min="2306" max="2306" width="32.375" style="743" customWidth="1"/>
    <col min="2307" max="2307" width="21.75" style="743" customWidth="1"/>
    <col min="2308" max="2314" width="9" style="743"/>
    <col min="2315" max="2315" width="28.625" style="743" customWidth="1"/>
    <col min="2316" max="2316" width="16" style="743" customWidth="1"/>
    <col min="2317" max="2317" width="14.875" style="743" customWidth="1"/>
    <col min="2318" max="2318" width="11.625" style="743" customWidth="1"/>
    <col min="2319" max="2319" width="6.75" style="743" customWidth="1"/>
    <col min="2320" max="2320" width="4.5" style="743" customWidth="1"/>
    <col min="2321" max="2321" width="17.75" style="743" customWidth="1"/>
    <col min="2322" max="2322" width="15.75" style="743" customWidth="1"/>
    <col min="2323" max="2323" width="57.375" style="743" customWidth="1"/>
    <col min="2324" max="2324" width="18.25" style="743" customWidth="1"/>
    <col min="2325" max="2326" width="4.5" style="743" customWidth="1"/>
    <col min="2327" max="2327" width="25.625" style="743" customWidth="1"/>
    <col min="2328" max="2328" width="22.875" style="743" customWidth="1"/>
    <col min="2329" max="2329" width="43.5" style="743" customWidth="1"/>
    <col min="2330" max="2330" width="10.25" style="743" customWidth="1"/>
    <col min="2331" max="2331" width="6.375" style="743" customWidth="1"/>
    <col min="2332" max="2332" width="4.875" style="743" customWidth="1"/>
    <col min="2333" max="2333" width="26.5" style="743" customWidth="1"/>
    <col min="2334" max="2334" width="13.125" style="743" customWidth="1"/>
    <col min="2335" max="2335" width="20.625" style="743" customWidth="1"/>
    <col min="2336" max="2336" width="23.375" style="743" customWidth="1"/>
    <col min="2337" max="2337" width="14.125" style="743" customWidth="1"/>
    <col min="2338" max="2338" width="18.875" style="743" customWidth="1"/>
    <col min="2339" max="2339" width="12" style="743" customWidth="1"/>
    <col min="2340" max="2340" width="14" style="743" customWidth="1"/>
    <col min="2341" max="2341" width="17" style="743" customWidth="1"/>
    <col min="2342" max="2342" width="20.375" style="743" customWidth="1"/>
    <col min="2343" max="2343" width="21" style="743" customWidth="1"/>
    <col min="2344" max="2344" width="20.25" style="743" customWidth="1"/>
    <col min="2345" max="2345" width="21.5" style="743" customWidth="1"/>
    <col min="2346" max="2346" width="24.125" style="743" customWidth="1"/>
    <col min="2347" max="2347" width="11.625" style="743" customWidth="1"/>
    <col min="2348" max="2348" width="21.625" style="743" customWidth="1"/>
    <col min="2349" max="2349" width="17.25" style="743" customWidth="1"/>
    <col min="2350" max="2350" width="13.5" style="743" customWidth="1"/>
    <col min="2351" max="2351" width="12.875" style="743" customWidth="1"/>
    <col min="2352" max="2354" width="21.625" style="743" customWidth="1"/>
    <col min="2355" max="2355" width="19.375" style="743" customWidth="1"/>
    <col min="2356" max="2360" width="20.25" style="743" customWidth="1"/>
    <col min="2361" max="2361" width="23" style="743" customWidth="1"/>
    <col min="2362" max="2362" width="10" style="743" customWidth="1"/>
    <col min="2363" max="2560" width="9" style="743"/>
    <col min="2561" max="2561" width="22.25" style="743" customWidth="1"/>
    <col min="2562" max="2562" width="32.375" style="743" customWidth="1"/>
    <col min="2563" max="2563" width="21.75" style="743" customWidth="1"/>
    <col min="2564" max="2570" width="9" style="743"/>
    <col min="2571" max="2571" width="28.625" style="743" customWidth="1"/>
    <col min="2572" max="2572" width="16" style="743" customWidth="1"/>
    <col min="2573" max="2573" width="14.875" style="743" customWidth="1"/>
    <col min="2574" max="2574" width="11.625" style="743" customWidth="1"/>
    <col min="2575" max="2575" width="6.75" style="743" customWidth="1"/>
    <col min="2576" max="2576" width="4.5" style="743" customWidth="1"/>
    <col min="2577" max="2577" width="17.75" style="743" customWidth="1"/>
    <col min="2578" max="2578" width="15.75" style="743" customWidth="1"/>
    <col min="2579" max="2579" width="57.375" style="743" customWidth="1"/>
    <col min="2580" max="2580" width="18.25" style="743" customWidth="1"/>
    <col min="2581" max="2582" width="4.5" style="743" customWidth="1"/>
    <col min="2583" max="2583" width="25.625" style="743" customWidth="1"/>
    <col min="2584" max="2584" width="22.875" style="743" customWidth="1"/>
    <col min="2585" max="2585" width="43.5" style="743" customWidth="1"/>
    <col min="2586" max="2586" width="10.25" style="743" customWidth="1"/>
    <col min="2587" max="2587" width="6.375" style="743" customWidth="1"/>
    <col min="2588" max="2588" width="4.875" style="743" customWidth="1"/>
    <col min="2589" max="2589" width="26.5" style="743" customWidth="1"/>
    <col min="2590" max="2590" width="13.125" style="743" customWidth="1"/>
    <col min="2591" max="2591" width="20.625" style="743" customWidth="1"/>
    <col min="2592" max="2592" width="23.375" style="743" customWidth="1"/>
    <col min="2593" max="2593" width="14.125" style="743" customWidth="1"/>
    <col min="2594" max="2594" width="18.875" style="743" customWidth="1"/>
    <col min="2595" max="2595" width="12" style="743" customWidth="1"/>
    <col min="2596" max="2596" width="14" style="743" customWidth="1"/>
    <col min="2597" max="2597" width="17" style="743" customWidth="1"/>
    <col min="2598" max="2598" width="20.375" style="743" customWidth="1"/>
    <col min="2599" max="2599" width="21" style="743" customWidth="1"/>
    <col min="2600" max="2600" width="20.25" style="743" customWidth="1"/>
    <col min="2601" max="2601" width="21.5" style="743" customWidth="1"/>
    <col min="2602" max="2602" width="24.125" style="743" customWidth="1"/>
    <col min="2603" max="2603" width="11.625" style="743" customWidth="1"/>
    <col min="2604" max="2604" width="21.625" style="743" customWidth="1"/>
    <col min="2605" max="2605" width="17.25" style="743" customWidth="1"/>
    <col min="2606" max="2606" width="13.5" style="743" customWidth="1"/>
    <col min="2607" max="2607" width="12.875" style="743" customWidth="1"/>
    <col min="2608" max="2610" width="21.625" style="743" customWidth="1"/>
    <col min="2611" max="2611" width="19.375" style="743" customWidth="1"/>
    <col min="2612" max="2616" width="20.25" style="743" customWidth="1"/>
    <col min="2617" max="2617" width="23" style="743" customWidth="1"/>
    <col min="2618" max="2618" width="10" style="743" customWidth="1"/>
    <col min="2619" max="2816" width="9" style="743"/>
    <col min="2817" max="2817" width="22.25" style="743" customWidth="1"/>
    <col min="2818" max="2818" width="32.375" style="743" customWidth="1"/>
    <col min="2819" max="2819" width="21.75" style="743" customWidth="1"/>
    <col min="2820" max="2826" width="9" style="743"/>
    <col min="2827" max="2827" width="28.625" style="743" customWidth="1"/>
    <col min="2828" max="2828" width="16" style="743" customWidth="1"/>
    <col min="2829" max="2829" width="14.875" style="743" customWidth="1"/>
    <col min="2830" max="2830" width="11.625" style="743" customWidth="1"/>
    <col min="2831" max="2831" width="6.75" style="743" customWidth="1"/>
    <col min="2832" max="2832" width="4.5" style="743" customWidth="1"/>
    <col min="2833" max="2833" width="17.75" style="743" customWidth="1"/>
    <col min="2834" max="2834" width="15.75" style="743" customWidth="1"/>
    <col min="2835" max="2835" width="57.375" style="743" customWidth="1"/>
    <col min="2836" max="2836" width="18.25" style="743" customWidth="1"/>
    <col min="2837" max="2838" width="4.5" style="743" customWidth="1"/>
    <col min="2839" max="2839" width="25.625" style="743" customWidth="1"/>
    <col min="2840" max="2840" width="22.875" style="743" customWidth="1"/>
    <col min="2841" max="2841" width="43.5" style="743" customWidth="1"/>
    <col min="2842" max="2842" width="10.25" style="743" customWidth="1"/>
    <col min="2843" max="2843" width="6.375" style="743" customWidth="1"/>
    <col min="2844" max="2844" width="4.875" style="743" customWidth="1"/>
    <col min="2845" max="2845" width="26.5" style="743" customWidth="1"/>
    <col min="2846" max="2846" width="13.125" style="743" customWidth="1"/>
    <col min="2847" max="2847" width="20.625" style="743" customWidth="1"/>
    <col min="2848" max="2848" width="23.375" style="743" customWidth="1"/>
    <col min="2849" max="2849" width="14.125" style="743" customWidth="1"/>
    <col min="2850" max="2850" width="18.875" style="743" customWidth="1"/>
    <col min="2851" max="2851" width="12" style="743" customWidth="1"/>
    <col min="2852" max="2852" width="14" style="743" customWidth="1"/>
    <col min="2853" max="2853" width="17" style="743" customWidth="1"/>
    <col min="2854" max="2854" width="20.375" style="743" customWidth="1"/>
    <col min="2855" max="2855" width="21" style="743" customWidth="1"/>
    <col min="2856" max="2856" width="20.25" style="743" customWidth="1"/>
    <col min="2857" max="2857" width="21.5" style="743" customWidth="1"/>
    <col min="2858" max="2858" width="24.125" style="743" customWidth="1"/>
    <col min="2859" max="2859" width="11.625" style="743" customWidth="1"/>
    <col min="2860" max="2860" width="21.625" style="743" customWidth="1"/>
    <col min="2861" max="2861" width="17.25" style="743" customWidth="1"/>
    <col min="2862" max="2862" width="13.5" style="743" customWidth="1"/>
    <col min="2863" max="2863" width="12.875" style="743" customWidth="1"/>
    <col min="2864" max="2866" width="21.625" style="743" customWidth="1"/>
    <col min="2867" max="2867" width="19.375" style="743" customWidth="1"/>
    <col min="2868" max="2872" width="20.25" style="743" customWidth="1"/>
    <col min="2873" max="2873" width="23" style="743" customWidth="1"/>
    <col min="2874" max="2874" width="10" style="743" customWidth="1"/>
    <col min="2875" max="3072" width="9" style="743"/>
    <col min="3073" max="3073" width="22.25" style="743" customWidth="1"/>
    <col min="3074" max="3074" width="32.375" style="743" customWidth="1"/>
    <col min="3075" max="3075" width="21.75" style="743" customWidth="1"/>
    <col min="3076" max="3082" width="9" style="743"/>
    <col min="3083" max="3083" width="28.625" style="743" customWidth="1"/>
    <col min="3084" max="3084" width="16" style="743" customWidth="1"/>
    <col min="3085" max="3085" width="14.875" style="743" customWidth="1"/>
    <col min="3086" max="3086" width="11.625" style="743" customWidth="1"/>
    <col min="3087" max="3087" width="6.75" style="743" customWidth="1"/>
    <col min="3088" max="3088" width="4.5" style="743" customWidth="1"/>
    <col min="3089" max="3089" width="17.75" style="743" customWidth="1"/>
    <col min="3090" max="3090" width="15.75" style="743" customWidth="1"/>
    <col min="3091" max="3091" width="57.375" style="743" customWidth="1"/>
    <col min="3092" max="3092" width="18.25" style="743" customWidth="1"/>
    <col min="3093" max="3094" width="4.5" style="743" customWidth="1"/>
    <col min="3095" max="3095" width="25.625" style="743" customWidth="1"/>
    <col min="3096" max="3096" width="22.875" style="743" customWidth="1"/>
    <col min="3097" max="3097" width="43.5" style="743" customWidth="1"/>
    <col min="3098" max="3098" width="10.25" style="743" customWidth="1"/>
    <col min="3099" max="3099" width="6.375" style="743" customWidth="1"/>
    <col min="3100" max="3100" width="4.875" style="743" customWidth="1"/>
    <col min="3101" max="3101" width="26.5" style="743" customWidth="1"/>
    <col min="3102" max="3102" width="13.125" style="743" customWidth="1"/>
    <col min="3103" max="3103" width="20.625" style="743" customWidth="1"/>
    <col min="3104" max="3104" width="23.375" style="743" customWidth="1"/>
    <col min="3105" max="3105" width="14.125" style="743" customWidth="1"/>
    <col min="3106" max="3106" width="18.875" style="743" customWidth="1"/>
    <col min="3107" max="3107" width="12" style="743" customWidth="1"/>
    <col min="3108" max="3108" width="14" style="743" customWidth="1"/>
    <col min="3109" max="3109" width="17" style="743" customWidth="1"/>
    <col min="3110" max="3110" width="20.375" style="743" customWidth="1"/>
    <col min="3111" max="3111" width="21" style="743" customWidth="1"/>
    <col min="3112" max="3112" width="20.25" style="743" customWidth="1"/>
    <col min="3113" max="3113" width="21.5" style="743" customWidth="1"/>
    <col min="3114" max="3114" width="24.125" style="743" customWidth="1"/>
    <col min="3115" max="3115" width="11.625" style="743" customWidth="1"/>
    <col min="3116" max="3116" width="21.625" style="743" customWidth="1"/>
    <col min="3117" max="3117" width="17.25" style="743" customWidth="1"/>
    <col min="3118" max="3118" width="13.5" style="743" customWidth="1"/>
    <col min="3119" max="3119" width="12.875" style="743" customWidth="1"/>
    <col min="3120" max="3122" width="21.625" style="743" customWidth="1"/>
    <col min="3123" max="3123" width="19.375" style="743" customWidth="1"/>
    <col min="3124" max="3128" width="20.25" style="743" customWidth="1"/>
    <col min="3129" max="3129" width="23" style="743" customWidth="1"/>
    <col min="3130" max="3130" width="10" style="743" customWidth="1"/>
    <col min="3131" max="3328" width="9" style="743"/>
    <col min="3329" max="3329" width="22.25" style="743" customWidth="1"/>
    <col min="3330" max="3330" width="32.375" style="743" customWidth="1"/>
    <col min="3331" max="3331" width="21.75" style="743" customWidth="1"/>
    <col min="3332" max="3338" width="9" style="743"/>
    <col min="3339" max="3339" width="28.625" style="743" customWidth="1"/>
    <col min="3340" max="3340" width="16" style="743" customWidth="1"/>
    <col min="3341" max="3341" width="14.875" style="743" customWidth="1"/>
    <col min="3342" max="3342" width="11.625" style="743" customWidth="1"/>
    <col min="3343" max="3343" width="6.75" style="743" customWidth="1"/>
    <col min="3344" max="3344" width="4.5" style="743" customWidth="1"/>
    <col min="3345" max="3345" width="17.75" style="743" customWidth="1"/>
    <col min="3346" max="3346" width="15.75" style="743" customWidth="1"/>
    <col min="3347" max="3347" width="57.375" style="743" customWidth="1"/>
    <col min="3348" max="3348" width="18.25" style="743" customWidth="1"/>
    <col min="3349" max="3350" width="4.5" style="743" customWidth="1"/>
    <col min="3351" max="3351" width="25.625" style="743" customWidth="1"/>
    <col min="3352" max="3352" width="22.875" style="743" customWidth="1"/>
    <col min="3353" max="3353" width="43.5" style="743" customWidth="1"/>
    <col min="3354" max="3354" width="10.25" style="743" customWidth="1"/>
    <col min="3355" max="3355" width="6.375" style="743" customWidth="1"/>
    <col min="3356" max="3356" width="4.875" style="743" customWidth="1"/>
    <col min="3357" max="3357" width="26.5" style="743" customWidth="1"/>
    <col min="3358" max="3358" width="13.125" style="743" customWidth="1"/>
    <col min="3359" max="3359" width="20.625" style="743" customWidth="1"/>
    <col min="3360" max="3360" width="23.375" style="743" customWidth="1"/>
    <col min="3361" max="3361" width="14.125" style="743" customWidth="1"/>
    <col min="3362" max="3362" width="18.875" style="743" customWidth="1"/>
    <col min="3363" max="3363" width="12" style="743" customWidth="1"/>
    <col min="3364" max="3364" width="14" style="743" customWidth="1"/>
    <col min="3365" max="3365" width="17" style="743" customWidth="1"/>
    <col min="3366" max="3366" width="20.375" style="743" customWidth="1"/>
    <col min="3367" max="3367" width="21" style="743" customWidth="1"/>
    <col min="3368" max="3368" width="20.25" style="743" customWidth="1"/>
    <col min="3369" max="3369" width="21.5" style="743" customWidth="1"/>
    <col min="3370" max="3370" width="24.125" style="743" customWidth="1"/>
    <col min="3371" max="3371" width="11.625" style="743" customWidth="1"/>
    <col min="3372" max="3372" width="21.625" style="743" customWidth="1"/>
    <col min="3373" max="3373" width="17.25" style="743" customWidth="1"/>
    <col min="3374" max="3374" width="13.5" style="743" customWidth="1"/>
    <col min="3375" max="3375" width="12.875" style="743" customWidth="1"/>
    <col min="3376" max="3378" width="21.625" style="743" customWidth="1"/>
    <col min="3379" max="3379" width="19.375" style="743" customWidth="1"/>
    <col min="3380" max="3384" width="20.25" style="743" customWidth="1"/>
    <col min="3385" max="3385" width="23" style="743" customWidth="1"/>
    <col min="3386" max="3386" width="10" style="743" customWidth="1"/>
    <col min="3387" max="3584" width="9" style="743"/>
    <col min="3585" max="3585" width="22.25" style="743" customWidth="1"/>
    <col min="3586" max="3586" width="32.375" style="743" customWidth="1"/>
    <col min="3587" max="3587" width="21.75" style="743" customWidth="1"/>
    <col min="3588" max="3594" width="9" style="743"/>
    <col min="3595" max="3595" width="28.625" style="743" customWidth="1"/>
    <col min="3596" max="3596" width="16" style="743" customWidth="1"/>
    <col min="3597" max="3597" width="14.875" style="743" customWidth="1"/>
    <col min="3598" max="3598" width="11.625" style="743" customWidth="1"/>
    <col min="3599" max="3599" width="6.75" style="743" customWidth="1"/>
    <col min="3600" max="3600" width="4.5" style="743" customWidth="1"/>
    <col min="3601" max="3601" width="17.75" style="743" customWidth="1"/>
    <col min="3602" max="3602" width="15.75" style="743" customWidth="1"/>
    <col min="3603" max="3603" width="57.375" style="743" customWidth="1"/>
    <col min="3604" max="3604" width="18.25" style="743" customWidth="1"/>
    <col min="3605" max="3606" width="4.5" style="743" customWidth="1"/>
    <col min="3607" max="3607" width="25.625" style="743" customWidth="1"/>
    <col min="3608" max="3608" width="22.875" style="743" customWidth="1"/>
    <col min="3609" max="3609" width="43.5" style="743" customWidth="1"/>
    <col min="3610" max="3610" width="10.25" style="743" customWidth="1"/>
    <col min="3611" max="3611" width="6.375" style="743" customWidth="1"/>
    <col min="3612" max="3612" width="4.875" style="743" customWidth="1"/>
    <col min="3613" max="3613" width="26.5" style="743" customWidth="1"/>
    <col min="3614" max="3614" width="13.125" style="743" customWidth="1"/>
    <col min="3615" max="3615" width="20.625" style="743" customWidth="1"/>
    <col min="3616" max="3616" width="23.375" style="743" customWidth="1"/>
    <col min="3617" max="3617" width="14.125" style="743" customWidth="1"/>
    <col min="3618" max="3618" width="18.875" style="743" customWidth="1"/>
    <col min="3619" max="3619" width="12" style="743" customWidth="1"/>
    <col min="3620" max="3620" width="14" style="743" customWidth="1"/>
    <col min="3621" max="3621" width="17" style="743" customWidth="1"/>
    <col min="3622" max="3622" width="20.375" style="743" customWidth="1"/>
    <col min="3623" max="3623" width="21" style="743" customWidth="1"/>
    <col min="3624" max="3624" width="20.25" style="743" customWidth="1"/>
    <col min="3625" max="3625" width="21.5" style="743" customWidth="1"/>
    <col min="3626" max="3626" width="24.125" style="743" customWidth="1"/>
    <col min="3627" max="3627" width="11.625" style="743" customWidth="1"/>
    <col min="3628" max="3628" width="21.625" style="743" customWidth="1"/>
    <col min="3629" max="3629" width="17.25" style="743" customWidth="1"/>
    <col min="3630" max="3630" width="13.5" style="743" customWidth="1"/>
    <col min="3631" max="3631" width="12.875" style="743" customWidth="1"/>
    <col min="3632" max="3634" width="21.625" style="743" customWidth="1"/>
    <col min="3635" max="3635" width="19.375" style="743" customWidth="1"/>
    <col min="3636" max="3640" width="20.25" style="743" customWidth="1"/>
    <col min="3641" max="3641" width="23" style="743" customWidth="1"/>
    <col min="3642" max="3642" width="10" style="743" customWidth="1"/>
    <col min="3643" max="3840" width="9" style="743"/>
    <col min="3841" max="3841" width="22.25" style="743" customWidth="1"/>
    <col min="3842" max="3842" width="32.375" style="743" customWidth="1"/>
    <col min="3843" max="3843" width="21.75" style="743" customWidth="1"/>
    <col min="3844" max="3850" width="9" style="743"/>
    <col min="3851" max="3851" width="28.625" style="743" customWidth="1"/>
    <col min="3852" max="3852" width="16" style="743" customWidth="1"/>
    <col min="3853" max="3853" width="14.875" style="743" customWidth="1"/>
    <col min="3854" max="3854" width="11.625" style="743" customWidth="1"/>
    <col min="3855" max="3855" width="6.75" style="743" customWidth="1"/>
    <col min="3856" max="3856" width="4.5" style="743" customWidth="1"/>
    <col min="3857" max="3857" width="17.75" style="743" customWidth="1"/>
    <col min="3858" max="3858" width="15.75" style="743" customWidth="1"/>
    <col min="3859" max="3859" width="57.375" style="743" customWidth="1"/>
    <col min="3860" max="3860" width="18.25" style="743" customWidth="1"/>
    <col min="3861" max="3862" width="4.5" style="743" customWidth="1"/>
    <col min="3863" max="3863" width="25.625" style="743" customWidth="1"/>
    <col min="3864" max="3864" width="22.875" style="743" customWidth="1"/>
    <col min="3865" max="3865" width="43.5" style="743" customWidth="1"/>
    <col min="3866" max="3866" width="10.25" style="743" customWidth="1"/>
    <col min="3867" max="3867" width="6.375" style="743" customWidth="1"/>
    <col min="3868" max="3868" width="4.875" style="743" customWidth="1"/>
    <col min="3869" max="3869" width="26.5" style="743" customWidth="1"/>
    <col min="3870" max="3870" width="13.125" style="743" customWidth="1"/>
    <col min="3871" max="3871" width="20.625" style="743" customWidth="1"/>
    <col min="3872" max="3872" width="23.375" style="743" customWidth="1"/>
    <col min="3873" max="3873" width="14.125" style="743" customWidth="1"/>
    <col min="3874" max="3874" width="18.875" style="743" customWidth="1"/>
    <col min="3875" max="3875" width="12" style="743" customWidth="1"/>
    <col min="3876" max="3876" width="14" style="743" customWidth="1"/>
    <col min="3877" max="3877" width="17" style="743" customWidth="1"/>
    <col min="3878" max="3878" width="20.375" style="743" customWidth="1"/>
    <col min="3879" max="3879" width="21" style="743" customWidth="1"/>
    <col min="3880" max="3880" width="20.25" style="743" customWidth="1"/>
    <col min="3881" max="3881" width="21.5" style="743" customWidth="1"/>
    <col min="3882" max="3882" width="24.125" style="743" customWidth="1"/>
    <col min="3883" max="3883" width="11.625" style="743" customWidth="1"/>
    <col min="3884" max="3884" width="21.625" style="743" customWidth="1"/>
    <col min="3885" max="3885" width="17.25" style="743" customWidth="1"/>
    <col min="3886" max="3886" width="13.5" style="743" customWidth="1"/>
    <col min="3887" max="3887" width="12.875" style="743" customWidth="1"/>
    <col min="3888" max="3890" width="21.625" style="743" customWidth="1"/>
    <col min="3891" max="3891" width="19.375" style="743" customWidth="1"/>
    <col min="3892" max="3896" width="20.25" style="743" customWidth="1"/>
    <col min="3897" max="3897" width="23" style="743" customWidth="1"/>
    <col min="3898" max="3898" width="10" style="743" customWidth="1"/>
    <col min="3899" max="4096" width="9" style="743"/>
    <col min="4097" max="4097" width="22.25" style="743" customWidth="1"/>
    <col min="4098" max="4098" width="32.375" style="743" customWidth="1"/>
    <col min="4099" max="4099" width="21.75" style="743" customWidth="1"/>
    <col min="4100" max="4106" width="9" style="743"/>
    <col min="4107" max="4107" width="28.625" style="743" customWidth="1"/>
    <col min="4108" max="4108" width="16" style="743" customWidth="1"/>
    <col min="4109" max="4109" width="14.875" style="743" customWidth="1"/>
    <col min="4110" max="4110" width="11.625" style="743" customWidth="1"/>
    <col min="4111" max="4111" width="6.75" style="743" customWidth="1"/>
    <col min="4112" max="4112" width="4.5" style="743" customWidth="1"/>
    <col min="4113" max="4113" width="17.75" style="743" customWidth="1"/>
    <col min="4114" max="4114" width="15.75" style="743" customWidth="1"/>
    <col min="4115" max="4115" width="57.375" style="743" customWidth="1"/>
    <col min="4116" max="4116" width="18.25" style="743" customWidth="1"/>
    <col min="4117" max="4118" width="4.5" style="743" customWidth="1"/>
    <col min="4119" max="4119" width="25.625" style="743" customWidth="1"/>
    <col min="4120" max="4120" width="22.875" style="743" customWidth="1"/>
    <col min="4121" max="4121" width="43.5" style="743" customWidth="1"/>
    <col min="4122" max="4122" width="10.25" style="743" customWidth="1"/>
    <col min="4123" max="4123" width="6.375" style="743" customWidth="1"/>
    <col min="4124" max="4124" width="4.875" style="743" customWidth="1"/>
    <col min="4125" max="4125" width="26.5" style="743" customWidth="1"/>
    <col min="4126" max="4126" width="13.125" style="743" customWidth="1"/>
    <col min="4127" max="4127" width="20.625" style="743" customWidth="1"/>
    <col min="4128" max="4128" width="23.375" style="743" customWidth="1"/>
    <col min="4129" max="4129" width="14.125" style="743" customWidth="1"/>
    <col min="4130" max="4130" width="18.875" style="743" customWidth="1"/>
    <col min="4131" max="4131" width="12" style="743" customWidth="1"/>
    <col min="4132" max="4132" width="14" style="743" customWidth="1"/>
    <col min="4133" max="4133" width="17" style="743" customWidth="1"/>
    <col min="4134" max="4134" width="20.375" style="743" customWidth="1"/>
    <col min="4135" max="4135" width="21" style="743" customWidth="1"/>
    <col min="4136" max="4136" width="20.25" style="743" customWidth="1"/>
    <col min="4137" max="4137" width="21.5" style="743" customWidth="1"/>
    <col min="4138" max="4138" width="24.125" style="743" customWidth="1"/>
    <col min="4139" max="4139" width="11.625" style="743" customWidth="1"/>
    <col min="4140" max="4140" width="21.625" style="743" customWidth="1"/>
    <col min="4141" max="4141" width="17.25" style="743" customWidth="1"/>
    <col min="4142" max="4142" width="13.5" style="743" customWidth="1"/>
    <col min="4143" max="4143" width="12.875" style="743" customWidth="1"/>
    <col min="4144" max="4146" width="21.625" style="743" customWidth="1"/>
    <col min="4147" max="4147" width="19.375" style="743" customWidth="1"/>
    <col min="4148" max="4152" width="20.25" style="743" customWidth="1"/>
    <col min="4153" max="4153" width="23" style="743" customWidth="1"/>
    <col min="4154" max="4154" width="10" style="743" customWidth="1"/>
    <col min="4155" max="4352" width="9" style="743"/>
    <col min="4353" max="4353" width="22.25" style="743" customWidth="1"/>
    <col min="4354" max="4354" width="32.375" style="743" customWidth="1"/>
    <col min="4355" max="4355" width="21.75" style="743" customWidth="1"/>
    <col min="4356" max="4362" width="9" style="743"/>
    <col min="4363" max="4363" width="28.625" style="743" customWidth="1"/>
    <col min="4364" max="4364" width="16" style="743" customWidth="1"/>
    <col min="4365" max="4365" width="14.875" style="743" customWidth="1"/>
    <col min="4366" max="4366" width="11.625" style="743" customWidth="1"/>
    <col min="4367" max="4367" width="6.75" style="743" customWidth="1"/>
    <col min="4368" max="4368" width="4.5" style="743" customWidth="1"/>
    <col min="4369" max="4369" width="17.75" style="743" customWidth="1"/>
    <col min="4370" max="4370" width="15.75" style="743" customWidth="1"/>
    <col min="4371" max="4371" width="57.375" style="743" customWidth="1"/>
    <col min="4372" max="4372" width="18.25" style="743" customWidth="1"/>
    <col min="4373" max="4374" width="4.5" style="743" customWidth="1"/>
    <col min="4375" max="4375" width="25.625" style="743" customWidth="1"/>
    <col min="4376" max="4376" width="22.875" style="743" customWidth="1"/>
    <col min="4377" max="4377" width="43.5" style="743" customWidth="1"/>
    <col min="4378" max="4378" width="10.25" style="743" customWidth="1"/>
    <col min="4379" max="4379" width="6.375" style="743" customWidth="1"/>
    <col min="4380" max="4380" width="4.875" style="743" customWidth="1"/>
    <col min="4381" max="4381" width="26.5" style="743" customWidth="1"/>
    <col min="4382" max="4382" width="13.125" style="743" customWidth="1"/>
    <col min="4383" max="4383" width="20.625" style="743" customWidth="1"/>
    <col min="4384" max="4384" width="23.375" style="743" customWidth="1"/>
    <col min="4385" max="4385" width="14.125" style="743" customWidth="1"/>
    <col min="4386" max="4386" width="18.875" style="743" customWidth="1"/>
    <col min="4387" max="4387" width="12" style="743" customWidth="1"/>
    <col min="4388" max="4388" width="14" style="743" customWidth="1"/>
    <col min="4389" max="4389" width="17" style="743" customWidth="1"/>
    <col min="4390" max="4390" width="20.375" style="743" customWidth="1"/>
    <col min="4391" max="4391" width="21" style="743" customWidth="1"/>
    <col min="4392" max="4392" width="20.25" style="743" customWidth="1"/>
    <col min="4393" max="4393" width="21.5" style="743" customWidth="1"/>
    <col min="4394" max="4394" width="24.125" style="743" customWidth="1"/>
    <col min="4395" max="4395" width="11.625" style="743" customWidth="1"/>
    <col min="4396" max="4396" width="21.625" style="743" customWidth="1"/>
    <col min="4397" max="4397" width="17.25" style="743" customWidth="1"/>
    <col min="4398" max="4398" width="13.5" style="743" customWidth="1"/>
    <col min="4399" max="4399" width="12.875" style="743" customWidth="1"/>
    <col min="4400" max="4402" width="21.625" style="743" customWidth="1"/>
    <col min="4403" max="4403" width="19.375" style="743" customWidth="1"/>
    <col min="4404" max="4408" width="20.25" style="743" customWidth="1"/>
    <col min="4409" max="4409" width="23" style="743" customWidth="1"/>
    <col min="4410" max="4410" width="10" style="743" customWidth="1"/>
    <col min="4411" max="4608" width="9" style="743"/>
    <col min="4609" max="4609" width="22.25" style="743" customWidth="1"/>
    <col min="4610" max="4610" width="32.375" style="743" customWidth="1"/>
    <col min="4611" max="4611" width="21.75" style="743" customWidth="1"/>
    <col min="4612" max="4618" width="9" style="743"/>
    <col min="4619" max="4619" width="28.625" style="743" customWidth="1"/>
    <col min="4620" max="4620" width="16" style="743" customWidth="1"/>
    <col min="4621" max="4621" width="14.875" style="743" customWidth="1"/>
    <col min="4622" max="4622" width="11.625" style="743" customWidth="1"/>
    <col min="4623" max="4623" width="6.75" style="743" customWidth="1"/>
    <col min="4624" max="4624" width="4.5" style="743" customWidth="1"/>
    <col min="4625" max="4625" width="17.75" style="743" customWidth="1"/>
    <col min="4626" max="4626" width="15.75" style="743" customWidth="1"/>
    <col min="4627" max="4627" width="57.375" style="743" customWidth="1"/>
    <col min="4628" max="4628" width="18.25" style="743" customWidth="1"/>
    <col min="4629" max="4630" width="4.5" style="743" customWidth="1"/>
    <col min="4631" max="4631" width="25.625" style="743" customWidth="1"/>
    <col min="4632" max="4632" width="22.875" style="743" customWidth="1"/>
    <col min="4633" max="4633" width="43.5" style="743" customWidth="1"/>
    <col min="4634" max="4634" width="10.25" style="743" customWidth="1"/>
    <col min="4635" max="4635" width="6.375" style="743" customWidth="1"/>
    <col min="4636" max="4636" width="4.875" style="743" customWidth="1"/>
    <col min="4637" max="4637" width="26.5" style="743" customWidth="1"/>
    <col min="4638" max="4638" width="13.125" style="743" customWidth="1"/>
    <col min="4639" max="4639" width="20.625" style="743" customWidth="1"/>
    <col min="4640" max="4640" width="23.375" style="743" customWidth="1"/>
    <col min="4641" max="4641" width="14.125" style="743" customWidth="1"/>
    <col min="4642" max="4642" width="18.875" style="743" customWidth="1"/>
    <col min="4643" max="4643" width="12" style="743" customWidth="1"/>
    <col min="4644" max="4644" width="14" style="743" customWidth="1"/>
    <col min="4645" max="4645" width="17" style="743" customWidth="1"/>
    <col min="4646" max="4646" width="20.375" style="743" customWidth="1"/>
    <col min="4647" max="4647" width="21" style="743" customWidth="1"/>
    <col min="4648" max="4648" width="20.25" style="743" customWidth="1"/>
    <col min="4649" max="4649" width="21.5" style="743" customWidth="1"/>
    <col min="4650" max="4650" width="24.125" style="743" customWidth="1"/>
    <col min="4651" max="4651" width="11.625" style="743" customWidth="1"/>
    <col min="4652" max="4652" width="21.625" style="743" customWidth="1"/>
    <col min="4653" max="4653" width="17.25" style="743" customWidth="1"/>
    <col min="4654" max="4654" width="13.5" style="743" customWidth="1"/>
    <col min="4655" max="4655" width="12.875" style="743" customWidth="1"/>
    <col min="4656" max="4658" width="21.625" style="743" customWidth="1"/>
    <col min="4659" max="4659" width="19.375" style="743" customWidth="1"/>
    <col min="4660" max="4664" width="20.25" style="743" customWidth="1"/>
    <col min="4665" max="4665" width="23" style="743" customWidth="1"/>
    <col min="4666" max="4666" width="10" style="743" customWidth="1"/>
    <col min="4667" max="4864" width="9" style="743"/>
    <col min="4865" max="4865" width="22.25" style="743" customWidth="1"/>
    <col min="4866" max="4866" width="32.375" style="743" customWidth="1"/>
    <col min="4867" max="4867" width="21.75" style="743" customWidth="1"/>
    <col min="4868" max="4874" width="9" style="743"/>
    <col min="4875" max="4875" width="28.625" style="743" customWidth="1"/>
    <col min="4876" max="4876" width="16" style="743" customWidth="1"/>
    <col min="4877" max="4877" width="14.875" style="743" customWidth="1"/>
    <col min="4878" max="4878" width="11.625" style="743" customWidth="1"/>
    <col min="4879" max="4879" width="6.75" style="743" customWidth="1"/>
    <col min="4880" max="4880" width="4.5" style="743" customWidth="1"/>
    <col min="4881" max="4881" width="17.75" style="743" customWidth="1"/>
    <col min="4882" max="4882" width="15.75" style="743" customWidth="1"/>
    <col min="4883" max="4883" width="57.375" style="743" customWidth="1"/>
    <col min="4884" max="4884" width="18.25" style="743" customWidth="1"/>
    <col min="4885" max="4886" width="4.5" style="743" customWidth="1"/>
    <col min="4887" max="4887" width="25.625" style="743" customWidth="1"/>
    <col min="4888" max="4888" width="22.875" style="743" customWidth="1"/>
    <col min="4889" max="4889" width="43.5" style="743" customWidth="1"/>
    <col min="4890" max="4890" width="10.25" style="743" customWidth="1"/>
    <col min="4891" max="4891" width="6.375" style="743" customWidth="1"/>
    <col min="4892" max="4892" width="4.875" style="743" customWidth="1"/>
    <col min="4893" max="4893" width="26.5" style="743" customWidth="1"/>
    <col min="4894" max="4894" width="13.125" style="743" customWidth="1"/>
    <col min="4895" max="4895" width="20.625" style="743" customWidth="1"/>
    <col min="4896" max="4896" width="23.375" style="743" customWidth="1"/>
    <col min="4897" max="4897" width="14.125" style="743" customWidth="1"/>
    <col min="4898" max="4898" width="18.875" style="743" customWidth="1"/>
    <col min="4899" max="4899" width="12" style="743" customWidth="1"/>
    <col min="4900" max="4900" width="14" style="743" customWidth="1"/>
    <col min="4901" max="4901" width="17" style="743" customWidth="1"/>
    <col min="4902" max="4902" width="20.375" style="743" customWidth="1"/>
    <col min="4903" max="4903" width="21" style="743" customWidth="1"/>
    <col min="4904" max="4904" width="20.25" style="743" customWidth="1"/>
    <col min="4905" max="4905" width="21.5" style="743" customWidth="1"/>
    <col min="4906" max="4906" width="24.125" style="743" customWidth="1"/>
    <col min="4907" max="4907" width="11.625" style="743" customWidth="1"/>
    <col min="4908" max="4908" width="21.625" style="743" customWidth="1"/>
    <col min="4909" max="4909" width="17.25" style="743" customWidth="1"/>
    <col min="4910" max="4910" width="13.5" style="743" customWidth="1"/>
    <col min="4911" max="4911" width="12.875" style="743" customWidth="1"/>
    <col min="4912" max="4914" width="21.625" style="743" customWidth="1"/>
    <col min="4915" max="4915" width="19.375" style="743" customWidth="1"/>
    <col min="4916" max="4920" width="20.25" style="743" customWidth="1"/>
    <col min="4921" max="4921" width="23" style="743" customWidth="1"/>
    <col min="4922" max="4922" width="10" style="743" customWidth="1"/>
    <col min="4923" max="5120" width="9" style="743"/>
    <col min="5121" max="5121" width="22.25" style="743" customWidth="1"/>
    <col min="5122" max="5122" width="32.375" style="743" customWidth="1"/>
    <col min="5123" max="5123" width="21.75" style="743" customWidth="1"/>
    <col min="5124" max="5130" width="9" style="743"/>
    <col min="5131" max="5131" width="28.625" style="743" customWidth="1"/>
    <col min="5132" max="5132" width="16" style="743" customWidth="1"/>
    <col min="5133" max="5133" width="14.875" style="743" customWidth="1"/>
    <col min="5134" max="5134" width="11.625" style="743" customWidth="1"/>
    <col min="5135" max="5135" width="6.75" style="743" customWidth="1"/>
    <col min="5136" max="5136" width="4.5" style="743" customWidth="1"/>
    <col min="5137" max="5137" width="17.75" style="743" customWidth="1"/>
    <col min="5138" max="5138" width="15.75" style="743" customWidth="1"/>
    <col min="5139" max="5139" width="57.375" style="743" customWidth="1"/>
    <col min="5140" max="5140" width="18.25" style="743" customWidth="1"/>
    <col min="5141" max="5142" width="4.5" style="743" customWidth="1"/>
    <col min="5143" max="5143" width="25.625" style="743" customWidth="1"/>
    <col min="5144" max="5144" width="22.875" style="743" customWidth="1"/>
    <col min="5145" max="5145" width="43.5" style="743" customWidth="1"/>
    <col min="5146" max="5146" width="10.25" style="743" customWidth="1"/>
    <col min="5147" max="5147" width="6.375" style="743" customWidth="1"/>
    <col min="5148" max="5148" width="4.875" style="743" customWidth="1"/>
    <col min="5149" max="5149" width="26.5" style="743" customWidth="1"/>
    <col min="5150" max="5150" width="13.125" style="743" customWidth="1"/>
    <col min="5151" max="5151" width="20.625" style="743" customWidth="1"/>
    <col min="5152" max="5152" width="23.375" style="743" customWidth="1"/>
    <col min="5153" max="5153" width="14.125" style="743" customWidth="1"/>
    <col min="5154" max="5154" width="18.875" style="743" customWidth="1"/>
    <col min="5155" max="5155" width="12" style="743" customWidth="1"/>
    <col min="5156" max="5156" width="14" style="743" customWidth="1"/>
    <col min="5157" max="5157" width="17" style="743" customWidth="1"/>
    <col min="5158" max="5158" width="20.375" style="743" customWidth="1"/>
    <col min="5159" max="5159" width="21" style="743" customWidth="1"/>
    <col min="5160" max="5160" width="20.25" style="743" customWidth="1"/>
    <col min="5161" max="5161" width="21.5" style="743" customWidth="1"/>
    <col min="5162" max="5162" width="24.125" style="743" customWidth="1"/>
    <col min="5163" max="5163" width="11.625" style="743" customWidth="1"/>
    <col min="5164" max="5164" width="21.625" style="743" customWidth="1"/>
    <col min="5165" max="5165" width="17.25" style="743" customWidth="1"/>
    <col min="5166" max="5166" width="13.5" style="743" customWidth="1"/>
    <col min="5167" max="5167" width="12.875" style="743" customWidth="1"/>
    <col min="5168" max="5170" width="21.625" style="743" customWidth="1"/>
    <col min="5171" max="5171" width="19.375" style="743" customWidth="1"/>
    <col min="5172" max="5176" width="20.25" style="743" customWidth="1"/>
    <col min="5177" max="5177" width="23" style="743" customWidth="1"/>
    <col min="5178" max="5178" width="10" style="743" customWidth="1"/>
    <col min="5179" max="5376" width="9" style="743"/>
    <col min="5377" max="5377" width="22.25" style="743" customWidth="1"/>
    <col min="5378" max="5378" width="32.375" style="743" customWidth="1"/>
    <col min="5379" max="5379" width="21.75" style="743" customWidth="1"/>
    <col min="5380" max="5386" width="9" style="743"/>
    <col min="5387" max="5387" width="28.625" style="743" customWidth="1"/>
    <col min="5388" max="5388" width="16" style="743" customWidth="1"/>
    <col min="5389" max="5389" width="14.875" style="743" customWidth="1"/>
    <col min="5390" max="5390" width="11.625" style="743" customWidth="1"/>
    <col min="5391" max="5391" width="6.75" style="743" customWidth="1"/>
    <col min="5392" max="5392" width="4.5" style="743" customWidth="1"/>
    <col min="5393" max="5393" width="17.75" style="743" customWidth="1"/>
    <col min="5394" max="5394" width="15.75" style="743" customWidth="1"/>
    <col min="5395" max="5395" width="57.375" style="743" customWidth="1"/>
    <col min="5396" max="5396" width="18.25" style="743" customWidth="1"/>
    <col min="5397" max="5398" width="4.5" style="743" customWidth="1"/>
    <col min="5399" max="5399" width="25.625" style="743" customWidth="1"/>
    <col min="5400" max="5400" width="22.875" style="743" customWidth="1"/>
    <col min="5401" max="5401" width="43.5" style="743" customWidth="1"/>
    <col min="5402" max="5402" width="10.25" style="743" customWidth="1"/>
    <col min="5403" max="5403" width="6.375" style="743" customWidth="1"/>
    <col min="5404" max="5404" width="4.875" style="743" customWidth="1"/>
    <col min="5405" max="5405" width="26.5" style="743" customWidth="1"/>
    <col min="5406" max="5406" width="13.125" style="743" customWidth="1"/>
    <col min="5407" max="5407" width="20.625" style="743" customWidth="1"/>
    <col min="5408" max="5408" width="23.375" style="743" customWidth="1"/>
    <col min="5409" max="5409" width="14.125" style="743" customWidth="1"/>
    <col min="5410" max="5410" width="18.875" style="743" customWidth="1"/>
    <col min="5411" max="5411" width="12" style="743" customWidth="1"/>
    <col min="5412" max="5412" width="14" style="743" customWidth="1"/>
    <col min="5413" max="5413" width="17" style="743" customWidth="1"/>
    <col min="5414" max="5414" width="20.375" style="743" customWidth="1"/>
    <col min="5415" max="5415" width="21" style="743" customWidth="1"/>
    <col min="5416" max="5416" width="20.25" style="743" customWidth="1"/>
    <col min="5417" max="5417" width="21.5" style="743" customWidth="1"/>
    <col min="5418" max="5418" width="24.125" style="743" customWidth="1"/>
    <col min="5419" max="5419" width="11.625" style="743" customWidth="1"/>
    <col min="5420" max="5420" width="21.625" style="743" customWidth="1"/>
    <col min="5421" max="5421" width="17.25" style="743" customWidth="1"/>
    <col min="5422" max="5422" width="13.5" style="743" customWidth="1"/>
    <col min="5423" max="5423" width="12.875" style="743" customWidth="1"/>
    <col min="5424" max="5426" width="21.625" style="743" customWidth="1"/>
    <col min="5427" max="5427" width="19.375" style="743" customWidth="1"/>
    <col min="5428" max="5432" width="20.25" style="743" customWidth="1"/>
    <col min="5433" max="5433" width="23" style="743" customWidth="1"/>
    <col min="5434" max="5434" width="10" style="743" customWidth="1"/>
    <col min="5435" max="5632" width="9" style="743"/>
    <col min="5633" max="5633" width="22.25" style="743" customWidth="1"/>
    <col min="5634" max="5634" width="32.375" style="743" customWidth="1"/>
    <col min="5635" max="5635" width="21.75" style="743" customWidth="1"/>
    <col min="5636" max="5642" width="9" style="743"/>
    <col min="5643" max="5643" width="28.625" style="743" customWidth="1"/>
    <col min="5644" max="5644" width="16" style="743" customWidth="1"/>
    <col min="5645" max="5645" width="14.875" style="743" customWidth="1"/>
    <col min="5646" max="5646" width="11.625" style="743" customWidth="1"/>
    <col min="5647" max="5647" width="6.75" style="743" customWidth="1"/>
    <col min="5648" max="5648" width="4.5" style="743" customWidth="1"/>
    <col min="5649" max="5649" width="17.75" style="743" customWidth="1"/>
    <col min="5650" max="5650" width="15.75" style="743" customWidth="1"/>
    <col min="5651" max="5651" width="57.375" style="743" customWidth="1"/>
    <col min="5652" max="5652" width="18.25" style="743" customWidth="1"/>
    <col min="5653" max="5654" width="4.5" style="743" customWidth="1"/>
    <col min="5655" max="5655" width="25.625" style="743" customWidth="1"/>
    <col min="5656" max="5656" width="22.875" style="743" customWidth="1"/>
    <col min="5657" max="5657" width="43.5" style="743" customWidth="1"/>
    <col min="5658" max="5658" width="10.25" style="743" customWidth="1"/>
    <col min="5659" max="5659" width="6.375" style="743" customWidth="1"/>
    <col min="5660" max="5660" width="4.875" style="743" customWidth="1"/>
    <col min="5661" max="5661" width="26.5" style="743" customWidth="1"/>
    <col min="5662" max="5662" width="13.125" style="743" customWidth="1"/>
    <col min="5663" max="5663" width="20.625" style="743" customWidth="1"/>
    <col min="5664" max="5664" width="23.375" style="743" customWidth="1"/>
    <col min="5665" max="5665" width="14.125" style="743" customWidth="1"/>
    <col min="5666" max="5666" width="18.875" style="743" customWidth="1"/>
    <col min="5667" max="5667" width="12" style="743" customWidth="1"/>
    <col min="5668" max="5668" width="14" style="743" customWidth="1"/>
    <col min="5669" max="5669" width="17" style="743" customWidth="1"/>
    <col min="5670" max="5670" width="20.375" style="743" customWidth="1"/>
    <col min="5671" max="5671" width="21" style="743" customWidth="1"/>
    <col min="5672" max="5672" width="20.25" style="743" customWidth="1"/>
    <col min="5673" max="5673" width="21.5" style="743" customWidth="1"/>
    <col min="5674" max="5674" width="24.125" style="743" customWidth="1"/>
    <col min="5675" max="5675" width="11.625" style="743" customWidth="1"/>
    <col min="5676" max="5676" width="21.625" style="743" customWidth="1"/>
    <col min="5677" max="5677" width="17.25" style="743" customWidth="1"/>
    <col min="5678" max="5678" width="13.5" style="743" customWidth="1"/>
    <col min="5679" max="5679" width="12.875" style="743" customWidth="1"/>
    <col min="5680" max="5682" width="21.625" style="743" customWidth="1"/>
    <col min="5683" max="5683" width="19.375" style="743" customWidth="1"/>
    <col min="5684" max="5688" width="20.25" style="743" customWidth="1"/>
    <col min="5689" max="5689" width="23" style="743" customWidth="1"/>
    <col min="5690" max="5690" width="10" style="743" customWidth="1"/>
    <col min="5691" max="5888" width="9" style="743"/>
    <col min="5889" max="5889" width="22.25" style="743" customWidth="1"/>
    <col min="5890" max="5890" width="32.375" style="743" customWidth="1"/>
    <col min="5891" max="5891" width="21.75" style="743" customWidth="1"/>
    <col min="5892" max="5898" width="9" style="743"/>
    <col min="5899" max="5899" width="28.625" style="743" customWidth="1"/>
    <col min="5900" max="5900" width="16" style="743" customWidth="1"/>
    <col min="5901" max="5901" width="14.875" style="743" customWidth="1"/>
    <col min="5902" max="5902" width="11.625" style="743" customWidth="1"/>
    <col min="5903" max="5903" width="6.75" style="743" customWidth="1"/>
    <col min="5904" max="5904" width="4.5" style="743" customWidth="1"/>
    <col min="5905" max="5905" width="17.75" style="743" customWidth="1"/>
    <col min="5906" max="5906" width="15.75" style="743" customWidth="1"/>
    <col min="5907" max="5907" width="57.375" style="743" customWidth="1"/>
    <col min="5908" max="5908" width="18.25" style="743" customWidth="1"/>
    <col min="5909" max="5910" width="4.5" style="743" customWidth="1"/>
    <col min="5911" max="5911" width="25.625" style="743" customWidth="1"/>
    <col min="5912" max="5912" width="22.875" style="743" customWidth="1"/>
    <col min="5913" max="5913" width="43.5" style="743" customWidth="1"/>
    <col min="5914" max="5914" width="10.25" style="743" customWidth="1"/>
    <col min="5915" max="5915" width="6.375" style="743" customWidth="1"/>
    <col min="5916" max="5916" width="4.875" style="743" customWidth="1"/>
    <col min="5917" max="5917" width="26.5" style="743" customWidth="1"/>
    <col min="5918" max="5918" width="13.125" style="743" customWidth="1"/>
    <col min="5919" max="5919" width="20.625" style="743" customWidth="1"/>
    <col min="5920" max="5920" width="23.375" style="743" customWidth="1"/>
    <col min="5921" max="5921" width="14.125" style="743" customWidth="1"/>
    <col min="5922" max="5922" width="18.875" style="743" customWidth="1"/>
    <col min="5923" max="5923" width="12" style="743" customWidth="1"/>
    <col min="5924" max="5924" width="14" style="743" customWidth="1"/>
    <col min="5925" max="5925" width="17" style="743" customWidth="1"/>
    <col min="5926" max="5926" width="20.375" style="743" customWidth="1"/>
    <col min="5927" max="5927" width="21" style="743" customWidth="1"/>
    <col min="5928" max="5928" width="20.25" style="743" customWidth="1"/>
    <col min="5929" max="5929" width="21.5" style="743" customWidth="1"/>
    <col min="5930" max="5930" width="24.125" style="743" customWidth="1"/>
    <col min="5931" max="5931" width="11.625" style="743" customWidth="1"/>
    <col min="5932" max="5932" width="21.625" style="743" customWidth="1"/>
    <col min="5933" max="5933" width="17.25" style="743" customWidth="1"/>
    <col min="5934" max="5934" width="13.5" style="743" customWidth="1"/>
    <col min="5935" max="5935" width="12.875" style="743" customWidth="1"/>
    <col min="5936" max="5938" width="21.625" style="743" customWidth="1"/>
    <col min="5939" max="5939" width="19.375" style="743" customWidth="1"/>
    <col min="5940" max="5944" width="20.25" style="743" customWidth="1"/>
    <col min="5945" max="5945" width="23" style="743" customWidth="1"/>
    <col min="5946" max="5946" width="10" style="743" customWidth="1"/>
    <col min="5947" max="6144" width="9" style="743"/>
    <col min="6145" max="6145" width="22.25" style="743" customWidth="1"/>
    <col min="6146" max="6146" width="32.375" style="743" customWidth="1"/>
    <col min="6147" max="6147" width="21.75" style="743" customWidth="1"/>
    <col min="6148" max="6154" width="9" style="743"/>
    <col min="6155" max="6155" width="28.625" style="743" customWidth="1"/>
    <col min="6156" max="6156" width="16" style="743" customWidth="1"/>
    <col min="6157" max="6157" width="14.875" style="743" customWidth="1"/>
    <col min="6158" max="6158" width="11.625" style="743" customWidth="1"/>
    <col min="6159" max="6159" width="6.75" style="743" customWidth="1"/>
    <col min="6160" max="6160" width="4.5" style="743" customWidth="1"/>
    <col min="6161" max="6161" width="17.75" style="743" customWidth="1"/>
    <col min="6162" max="6162" width="15.75" style="743" customWidth="1"/>
    <col min="6163" max="6163" width="57.375" style="743" customWidth="1"/>
    <col min="6164" max="6164" width="18.25" style="743" customWidth="1"/>
    <col min="6165" max="6166" width="4.5" style="743" customWidth="1"/>
    <col min="6167" max="6167" width="25.625" style="743" customWidth="1"/>
    <col min="6168" max="6168" width="22.875" style="743" customWidth="1"/>
    <col min="6169" max="6169" width="43.5" style="743" customWidth="1"/>
    <col min="6170" max="6170" width="10.25" style="743" customWidth="1"/>
    <col min="6171" max="6171" width="6.375" style="743" customWidth="1"/>
    <col min="6172" max="6172" width="4.875" style="743" customWidth="1"/>
    <col min="6173" max="6173" width="26.5" style="743" customWidth="1"/>
    <col min="6174" max="6174" width="13.125" style="743" customWidth="1"/>
    <col min="6175" max="6175" width="20.625" style="743" customWidth="1"/>
    <col min="6176" max="6176" width="23.375" style="743" customWidth="1"/>
    <col min="6177" max="6177" width="14.125" style="743" customWidth="1"/>
    <col min="6178" max="6178" width="18.875" style="743" customWidth="1"/>
    <col min="6179" max="6179" width="12" style="743" customWidth="1"/>
    <col min="6180" max="6180" width="14" style="743" customWidth="1"/>
    <col min="6181" max="6181" width="17" style="743" customWidth="1"/>
    <col min="6182" max="6182" width="20.375" style="743" customWidth="1"/>
    <col min="6183" max="6183" width="21" style="743" customWidth="1"/>
    <col min="6184" max="6184" width="20.25" style="743" customWidth="1"/>
    <col min="6185" max="6185" width="21.5" style="743" customWidth="1"/>
    <col min="6186" max="6186" width="24.125" style="743" customWidth="1"/>
    <col min="6187" max="6187" width="11.625" style="743" customWidth="1"/>
    <col min="6188" max="6188" width="21.625" style="743" customWidth="1"/>
    <col min="6189" max="6189" width="17.25" style="743" customWidth="1"/>
    <col min="6190" max="6190" width="13.5" style="743" customWidth="1"/>
    <col min="6191" max="6191" width="12.875" style="743" customWidth="1"/>
    <col min="6192" max="6194" width="21.625" style="743" customWidth="1"/>
    <col min="6195" max="6195" width="19.375" style="743" customWidth="1"/>
    <col min="6196" max="6200" width="20.25" style="743" customWidth="1"/>
    <col min="6201" max="6201" width="23" style="743" customWidth="1"/>
    <col min="6202" max="6202" width="10" style="743" customWidth="1"/>
    <col min="6203" max="6400" width="9" style="743"/>
    <col min="6401" max="6401" width="22.25" style="743" customWidth="1"/>
    <col min="6402" max="6402" width="32.375" style="743" customWidth="1"/>
    <col min="6403" max="6403" width="21.75" style="743" customWidth="1"/>
    <col min="6404" max="6410" width="9" style="743"/>
    <col min="6411" max="6411" width="28.625" style="743" customWidth="1"/>
    <col min="6412" max="6412" width="16" style="743" customWidth="1"/>
    <col min="6413" max="6413" width="14.875" style="743" customWidth="1"/>
    <col min="6414" max="6414" width="11.625" style="743" customWidth="1"/>
    <col min="6415" max="6415" width="6.75" style="743" customWidth="1"/>
    <col min="6416" max="6416" width="4.5" style="743" customWidth="1"/>
    <col min="6417" max="6417" width="17.75" style="743" customWidth="1"/>
    <col min="6418" max="6418" width="15.75" style="743" customWidth="1"/>
    <col min="6419" max="6419" width="57.375" style="743" customWidth="1"/>
    <col min="6420" max="6420" width="18.25" style="743" customWidth="1"/>
    <col min="6421" max="6422" width="4.5" style="743" customWidth="1"/>
    <col min="6423" max="6423" width="25.625" style="743" customWidth="1"/>
    <col min="6424" max="6424" width="22.875" style="743" customWidth="1"/>
    <col min="6425" max="6425" width="43.5" style="743" customWidth="1"/>
    <col min="6426" max="6426" width="10.25" style="743" customWidth="1"/>
    <col min="6427" max="6427" width="6.375" style="743" customWidth="1"/>
    <col min="6428" max="6428" width="4.875" style="743" customWidth="1"/>
    <col min="6429" max="6429" width="26.5" style="743" customWidth="1"/>
    <col min="6430" max="6430" width="13.125" style="743" customWidth="1"/>
    <col min="6431" max="6431" width="20.625" style="743" customWidth="1"/>
    <col min="6432" max="6432" width="23.375" style="743" customWidth="1"/>
    <col min="6433" max="6433" width="14.125" style="743" customWidth="1"/>
    <col min="6434" max="6434" width="18.875" style="743" customWidth="1"/>
    <col min="6435" max="6435" width="12" style="743" customWidth="1"/>
    <col min="6436" max="6436" width="14" style="743" customWidth="1"/>
    <col min="6437" max="6437" width="17" style="743" customWidth="1"/>
    <col min="6438" max="6438" width="20.375" style="743" customWidth="1"/>
    <col min="6439" max="6439" width="21" style="743" customWidth="1"/>
    <col min="6440" max="6440" width="20.25" style="743" customWidth="1"/>
    <col min="6441" max="6441" width="21.5" style="743" customWidth="1"/>
    <col min="6442" max="6442" width="24.125" style="743" customWidth="1"/>
    <col min="6443" max="6443" width="11.625" style="743" customWidth="1"/>
    <col min="6444" max="6444" width="21.625" style="743" customWidth="1"/>
    <col min="6445" max="6445" width="17.25" style="743" customWidth="1"/>
    <col min="6446" max="6446" width="13.5" style="743" customWidth="1"/>
    <col min="6447" max="6447" width="12.875" style="743" customWidth="1"/>
    <col min="6448" max="6450" width="21.625" style="743" customWidth="1"/>
    <col min="6451" max="6451" width="19.375" style="743" customWidth="1"/>
    <col min="6452" max="6456" width="20.25" style="743" customWidth="1"/>
    <col min="6457" max="6457" width="23" style="743" customWidth="1"/>
    <col min="6458" max="6458" width="10" style="743" customWidth="1"/>
    <col min="6459" max="6656" width="9" style="743"/>
    <col min="6657" max="6657" width="22.25" style="743" customWidth="1"/>
    <col min="6658" max="6658" width="32.375" style="743" customWidth="1"/>
    <col min="6659" max="6659" width="21.75" style="743" customWidth="1"/>
    <col min="6660" max="6666" width="9" style="743"/>
    <col min="6667" max="6667" width="28.625" style="743" customWidth="1"/>
    <col min="6668" max="6668" width="16" style="743" customWidth="1"/>
    <col min="6669" max="6669" width="14.875" style="743" customWidth="1"/>
    <col min="6670" max="6670" width="11.625" style="743" customWidth="1"/>
    <col min="6671" max="6671" width="6.75" style="743" customWidth="1"/>
    <col min="6672" max="6672" width="4.5" style="743" customWidth="1"/>
    <col min="6673" max="6673" width="17.75" style="743" customWidth="1"/>
    <col min="6674" max="6674" width="15.75" style="743" customWidth="1"/>
    <col min="6675" max="6675" width="57.375" style="743" customWidth="1"/>
    <col min="6676" max="6676" width="18.25" style="743" customWidth="1"/>
    <col min="6677" max="6678" width="4.5" style="743" customWidth="1"/>
    <col min="6679" max="6679" width="25.625" style="743" customWidth="1"/>
    <col min="6680" max="6680" width="22.875" style="743" customWidth="1"/>
    <col min="6681" max="6681" width="43.5" style="743" customWidth="1"/>
    <col min="6682" max="6682" width="10.25" style="743" customWidth="1"/>
    <col min="6683" max="6683" width="6.375" style="743" customWidth="1"/>
    <col min="6684" max="6684" width="4.875" style="743" customWidth="1"/>
    <col min="6685" max="6685" width="26.5" style="743" customWidth="1"/>
    <col min="6686" max="6686" width="13.125" style="743" customWidth="1"/>
    <col min="6687" max="6687" width="20.625" style="743" customWidth="1"/>
    <col min="6688" max="6688" width="23.375" style="743" customWidth="1"/>
    <col min="6689" max="6689" width="14.125" style="743" customWidth="1"/>
    <col min="6690" max="6690" width="18.875" style="743" customWidth="1"/>
    <col min="6691" max="6691" width="12" style="743" customWidth="1"/>
    <col min="6692" max="6692" width="14" style="743" customWidth="1"/>
    <col min="6693" max="6693" width="17" style="743" customWidth="1"/>
    <col min="6694" max="6694" width="20.375" style="743" customWidth="1"/>
    <col min="6695" max="6695" width="21" style="743" customWidth="1"/>
    <col min="6696" max="6696" width="20.25" style="743" customWidth="1"/>
    <col min="6697" max="6697" width="21.5" style="743" customWidth="1"/>
    <col min="6698" max="6698" width="24.125" style="743" customWidth="1"/>
    <col min="6699" max="6699" width="11.625" style="743" customWidth="1"/>
    <col min="6700" max="6700" width="21.625" style="743" customWidth="1"/>
    <col min="6701" max="6701" width="17.25" style="743" customWidth="1"/>
    <col min="6702" max="6702" width="13.5" style="743" customWidth="1"/>
    <col min="6703" max="6703" width="12.875" style="743" customWidth="1"/>
    <col min="6704" max="6706" width="21.625" style="743" customWidth="1"/>
    <col min="6707" max="6707" width="19.375" style="743" customWidth="1"/>
    <col min="6708" max="6712" width="20.25" style="743" customWidth="1"/>
    <col min="6713" max="6713" width="23" style="743" customWidth="1"/>
    <col min="6714" max="6714" width="10" style="743" customWidth="1"/>
    <col min="6715" max="6912" width="9" style="743"/>
    <col min="6913" max="6913" width="22.25" style="743" customWidth="1"/>
    <col min="6914" max="6914" width="32.375" style="743" customWidth="1"/>
    <col min="6915" max="6915" width="21.75" style="743" customWidth="1"/>
    <col min="6916" max="6922" width="9" style="743"/>
    <col min="6923" max="6923" width="28.625" style="743" customWidth="1"/>
    <col min="6924" max="6924" width="16" style="743" customWidth="1"/>
    <col min="6925" max="6925" width="14.875" style="743" customWidth="1"/>
    <col min="6926" max="6926" width="11.625" style="743" customWidth="1"/>
    <col min="6927" max="6927" width="6.75" style="743" customWidth="1"/>
    <col min="6928" max="6928" width="4.5" style="743" customWidth="1"/>
    <col min="6929" max="6929" width="17.75" style="743" customWidth="1"/>
    <col min="6930" max="6930" width="15.75" style="743" customWidth="1"/>
    <col min="6931" max="6931" width="57.375" style="743" customWidth="1"/>
    <col min="6932" max="6932" width="18.25" style="743" customWidth="1"/>
    <col min="6933" max="6934" width="4.5" style="743" customWidth="1"/>
    <col min="6935" max="6935" width="25.625" style="743" customWidth="1"/>
    <col min="6936" max="6936" width="22.875" style="743" customWidth="1"/>
    <col min="6937" max="6937" width="43.5" style="743" customWidth="1"/>
    <col min="6938" max="6938" width="10.25" style="743" customWidth="1"/>
    <col min="6939" max="6939" width="6.375" style="743" customWidth="1"/>
    <col min="6940" max="6940" width="4.875" style="743" customWidth="1"/>
    <col min="6941" max="6941" width="26.5" style="743" customWidth="1"/>
    <col min="6942" max="6942" width="13.125" style="743" customWidth="1"/>
    <col min="6943" max="6943" width="20.625" style="743" customWidth="1"/>
    <col min="6944" max="6944" width="23.375" style="743" customWidth="1"/>
    <col min="6945" max="6945" width="14.125" style="743" customWidth="1"/>
    <col min="6946" max="6946" width="18.875" style="743" customWidth="1"/>
    <col min="6947" max="6947" width="12" style="743" customWidth="1"/>
    <col min="6948" max="6948" width="14" style="743" customWidth="1"/>
    <col min="6949" max="6949" width="17" style="743" customWidth="1"/>
    <col min="6950" max="6950" width="20.375" style="743" customWidth="1"/>
    <col min="6951" max="6951" width="21" style="743" customWidth="1"/>
    <col min="6952" max="6952" width="20.25" style="743" customWidth="1"/>
    <col min="6953" max="6953" width="21.5" style="743" customWidth="1"/>
    <col min="6954" max="6954" width="24.125" style="743" customWidth="1"/>
    <col min="6955" max="6955" width="11.625" style="743" customWidth="1"/>
    <col min="6956" max="6956" width="21.625" style="743" customWidth="1"/>
    <col min="6957" max="6957" width="17.25" style="743" customWidth="1"/>
    <col min="6958" max="6958" width="13.5" style="743" customWidth="1"/>
    <col min="6959" max="6959" width="12.875" style="743" customWidth="1"/>
    <col min="6960" max="6962" width="21.625" style="743" customWidth="1"/>
    <col min="6963" max="6963" width="19.375" style="743" customWidth="1"/>
    <col min="6964" max="6968" width="20.25" style="743" customWidth="1"/>
    <col min="6969" max="6969" width="23" style="743" customWidth="1"/>
    <col min="6970" max="6970" width="10" style="743" customWidth="1"/>
    <col min="6971" max="7168" width="9" style="743"/>
    <col min="7169" max="7169" width="22.25" style="743" customWidth="1"/>
    <col min="7170" max="7170" width="32.375" style="743" customWidth="1"/>
    <col min="7171" max="7171" width="21.75" style="743" customWidth="1"/>
    <col min="7172" max="7178" width="9" style="743"/>
    <col min="7179" max="7179" width="28.625" style="743" customWidth="1"/>
    <col min="7180" max="7180" width="16" style="743" customWidth="1"/>
    <col min="7181" max="7181" width="14.875" style="743" customWidth="1"/>
    <col min="7182" max="7182" width="11.625" style="743" customWidth="1"/>
    <col min="7183" max="7183" width="6.75" style="743" customWidth="1"/>
    <col min="7184" max="7184" width="4.5" style="743" customWidth="1"/>
    <col min="7185" max="7185" width="17.75" style="743" customWidth="1"/>
    <col min="7186" max="7186" width="15.75" style="743" customWidth="1"/>
    <col min="7187" max="7187" width="57.375" style="743" customWidth="1"/>
    <col min="7188" max="7188" width="18.25" style="743" customWidth="1"/>
    <col min="7189" max="7190" width="4.5" style="743" customWidth="1"/>
    <col min="7191" max="7191" width="25.625" style="743" customWidth="1"/>
    <col min="7192" max="7192" width="22.875" style="743" customWidth="1"/>
    <col min="7193" max="7193" width="43.5" style="743" customWidth="1"/>
    <col min="7194" max="7194" width="10.25" style="743" customWidth="1"/>
    <col min="7195" max="7195" width="6.375" style="743" customWidth="1"/>
    <col min="7196" max="7196" width="4.875" style="743" customWidth="1"/>
    <col min="7197" max="7197" width="26.5" style="743" customWidth="1"/>
    <col min="7198" max="7198" width="13.125" style="743" customWidth="1"/>
    <col min="7199" max="7199" width="20.625" style="743" customWidth="1"/>
    <col min="7200" max="7200" width="23.375" style="743" customWidth="1"/>
    <col min="7201" max="7201" width="14.125" style="743" customWidth="1"/>
    <col min="7202" max="7202" width="18.875" style="743" customWidth="1"/>
    <col min="7203" max="7203" width="12" style="743" customWidth="1"/>
    <col min="7204" max="7204" width="14" style="743" customWidth="1"/>
    <col min="7205" max="7205" width="17" style="743" customWidth="1"/>
    <col min="7206" max="7206" width="20.375" style="743" customWidth="1"/>
    <col min="7207" max="7207" width="21" style="743" customWidth="1"/>
    <col min="7208" max="7208" width="20.25" style="743" customWidth="1"/>
    <col min="7209" max="7209" width="21.5" style="743" customWidth="1"/>
    <col min="7210" max="7210" width="24.125" style="743" customWidth="1"/>
    <col min="7211" max="7211" width="11.625" style="743" customWidth="1"/>
    <col min="7212" max="7212" width="21.625" style="743" customWidth="1"/>
    <col min="7213" max="7213" width="17.25" style="743" customWidth="1"/>
    <col min="7214" max="7214" width="13.5" style="743" customWidth="1"/>
    <col min="7215" max="7215" width="12.875" style="743" customWidth="1"/>
    <col min="7216" max="7218" width="21.625" style="743" customWidth="1"/>
    <col min="7219" max="7219" width="19.375" style="743" customWidth="1"/>
    <col min="7220" max="7224" width="20.25" style="743" customWidth="1"/>
    <col min="7225" max="7225" width="23" style="743" customWidth="1"/>
    <col min="7226" max="7226" width="10" style="743" customWidth="1"/>
    <col min="7227" max="7424" width="9" style="743"/>
    <col min="7425" max="7425" width="22.25" style="743" customWidth="1"/>
    <col min="7426" max="7426" width="32.375" style="743" customWidth="1"/>
    <col min="7427" max="7427" width="21.75" style="743" customWidth="1"/>
    <col min="7428" max="7434" width="9" style="743"/>
    <col min="7435" max="7435" width="28.625" style="743" customWidth="1"/>
    <col min="7436" max="7436" width="16" style="743" customWidth="1"/>
    <col min="7437" max="7437" width="14.875" style="743" customWidth="1"/>
    <col min="7438" max="7438" width="11.625" style="743" customWidth="1"/>
    <col min="7439" max="7439" width="6.75" style="743" customWidth="1"/>
    <col min="7440" max="7440" width="4.5" style="743" customWidth="1"/>
    <col min="7441" max="7441" width="17.75" style="743" customWidth="1"/>
    <col min="7442" max="7442" width="15.75" style="743" customWidth="1"/>
    <col min="7443" max="7443" width="57.375" style="743" customWidth="1"/>
    <col min="7444" max="7444" width="18.25" style="743" customWidth="1"/>
    <col min="7445" max="7446" width="4.5" style="743" customWidth="1"/>
    <col min="7447" max="7447" width="25.625" style="743" customWidth="1"/>
    <col min="7448" max="7448" width="22.875" style="743" customWidth="1"/>
    <col min="7449" max="7449" width="43.5" style="743" customWidth="1"/>
    <col min="7450" max="7450" width="10.25" style="743" customWidth="1"/>
    <col min="7451" max="7451" width="6.375" style="743" customWidth="1"/>
    <col min="7452" max="7452" width="4.875" style="743" customWidth="1"/>
    <col min="7453" max="7453" width="26.5" style="743" customWidth="1"/>
    <col min="7454" max="7454" width="13.125" style="743" customWidth="1"/>
    <col min="7455" max="7455" width="20.625" style="743" customWidth="1"/>
    <col min="7456" max="7456" width="23.375" style="743" customWidth="1"/>
    <col min="7457" max="7457" width="14.125" style="743" customWidth="1"/>
    <col min="7458" max="7458" width="18.875" style="743" customWidth="1"/>
    <col min="7459" max="7459" width="12" style="743" customWidth="1"/>
    <col min="7460" max="7460" width="14" style="743" customWidth="1"/>
    <col min="7461" max="7461" width="17" style="743" customWidth="1"/>
    <col min="7462" max="7462" width="20.375" style="743" customWidth="1"/>
    <col min="7463" max="7463" width="21" style="743" customWidth="1"/>
    <col min="7464" max="7464" width="20.25" style="743" customWidth="1"/>
    <col min="7465" max="7465" width="21.5" style="743" customWidth="1"/>
    <col min="7466" max="7466" width="24.125" style="743" customWidth="1"/>
    <col min="7467" max="7467" width="11.625" style="743" customWidth="1"/>
    <col min="7468" max="7468" width="21.625" style="743" customWidth="1"/>
    <col min="7469" max="7469" width="17.25" style="743" customWidth="1"/>
    <col min="7470" max="7470" width="13.5" style="743" customWidth="1"/>
    <col min="7471" max="7471" width="12.875" style="743" customWidth="1"/>
    <col min="7472" max="7474" width="21.625" style="743" customWidth="1"/>
    <col min="7475" max="7475" width="19.375" style="743" customWidth="1"/>
    <col min="7476" max="7480" width="20.25" style="743" customWidth="1"/>
    <col min="7481" max="7481" width="23" style="743" customWidth="1"/>
    <col min="7482" max="7482" width="10" style="743" customWidth="1"/>
    <col min="7483" max="7680" width="9" style="743"/>
    <col min="7681" max="7681" width="22.25" style="743" customWidth="1"/>
    <col min="7682" max="7682" width="32.375" style="743" customWidth="1"/>
    <col min="7683" max="7683" width="21.75" style="743" customWidth="1"/>
    <col min="7684" max="7690" width="9" style="743"/>
    <col min="7691" max="7691" width="28.625" style="743" customWidth="1"/>
    <col min="7692" max="7692" width="16" style="743" customWidth="1"/>
    <col min="7693" max="7693" width="14.875" style="743" customWidth="1"/>
    <col min="7694" max="7694" width="11.625" style="743" customWidth="1"/>
    <col min="7695" max="7695" width="6.75" style="743" customWidth="1"/>
    <col min="7696" max="7696" width="4.5" style="743" customWidth="1"/>
    <col min="7697" max="7697" width="17.75" style="743" customWidth="1"/>
    <col min="7698" max="7698" width="15.75" style="743" customWidth="1"/>
    <col min="7699" max="7699" width="57.375" style="743" customWidth="1"/>
    <col min="7700" max="7700" width="18.25" style="743" customWidth="1"/>
    <col min="7701" max="7702" width="4.5" style="743" customWidth="1"/>
    <col min="7703" max="7703" width="25.625" style="743" customWidth="1"/>
    <col min="7704" max="7704" width="22.875" style="743" customWidth="1"/>
    <col min="7705" max="7705" width="43.5" style="743" customWidth="1"/>
    <col min="7706" max="7706" width="10.25" style="743" customWidth="1"/>
    <col min="7707" max="7707" width="6.375" style="743" customWidth="1"/>
    <col min="7708" max="7708" width="4.875" style="743" customWidth="1"/>
    <col min="7709" max="7709" width="26.5" style="743" customWidth="1"/>
    <col min="7710" max="7710" width="13.125" style="743" customWidth="1"/>
    <col min="7711" max="7711" width="20.625" style="743" customWidth="1"/>
    <col min="7712" max="7712" width="23.375" style="743" customWidth="1"/>
    <col min="7713" max="7713" width="14.125" style="743" customWidth="1"/>
    <col min="7714" max="7714" width="18.875" style="743" customWidth="1"/>
    <col min="7715" max="7715" width="12" style="743" customWidth="1"/>
    <col min="7716" max="7716" width="14" style="743" customWidth="1"/>
    <col min="7717" max="7717" width="17" style="743" customWidth="1"/>
    <col min="7718" max="7718" width="20.375" style="743" customWidth="1"/>
    <col min="7719" max="7719" width="21" style="743" customWidth="1"/>
    <col min="7720" max="7720" width="20.25" style="743" customWidth="1"/>
    <col min="7721" max="7721" width="21.5" style="743" customWidth="1"/>
    <col min="7722" max="7722" width="24.125" style="743" customWidth="1"/>
    <col min="7723" max="7723" width="11.625" style="743" customWidth="1"/>
    <col min="7724" max="7724" width="21.625" style="743" customWidth="1"/>
    <col min="7725" max="7725" width="17.25" style="743" customWidth="1"/>
    <col min="7726" max="7726" width="13.5" style="743" customWidth="1"/>
    <col min="7727" max="7727" width="12.875" style="743" customWidth="1"/>
    <col min="7728" max="7730" width="21.625" style="743" customWidth="1"/>
    <col min="7731" max="7731" width="19.375" style="743" customWidth="1"/>
    <col min="7732" max="7736" width="20.25" style="743" customWidth="1"/>
    <col min="7737" max="7737" width="23" style="743" customWidth="1"/>
    <col min="7738" max="7738" width="10" style="743" customWidth="1"/>
    <col min="7739" max="7936" width="9" style="743"/>
    <col min="7937" max="7937" width="22.25" style="743" customWidth="1"/>
    <col min="7938" max="7938" width="32.375" style="743" customWidth="1"/>
    <col min="7939" max="7939" width="21.75" style="743" customWidth="1"/>
    <col min="7940" max="7946" width="9" style="743"/>
    <col min="7947" max="7947" width="28.625" style="743" customWidth="1"/>
    <col min="7948" max="7948" width="16" style="743" customWidth="1"/>
    <col min="7949" max="7949" width="14.875" style="743" customWidth="1"/>
    <col min="7950" max="7950" width="11.625" style="743" customWidth="1"/>
    <col min="7951" max="7951" width="6.75" style="743" customWidth="1"/>
    <col min="7952" max="7952" width="4.5" style="743" customWidth="1"/>
    <col min="7953" max="7953" width="17.75" style="743" customWidth="1"/>
    <col min="7954" max="7954" width="15.75" style="743" customWidth="1"/>
    <col min="7955" max="7955" width="57.375" style="743" customWidth="1"/>
    <col min="7956" max="7956" width="18.25" style="743" customWidth="1"/>
    <col min="7957" max="7958" width="4.5" style="743" customWidth="1"/>
    <col min="7959" max="7959" width="25.625" style="743" customWidth="1"/>
    <col min="7960" max="7960" width="22.875" style="743" customWidth="1"/>
    <col min="7961" max="7961" width="43.5" style="743" customWidth="1"/>
    <col min="7962" max="7962" width="10.25" style="743" customWidth="1"/>
    <col min="7963" max="7963" width="6.375" style="743" customWidth="1"/>
    <col min="7964" max="7964" width="4.875" style="743" customWidth="1"/>
    <col min="7965" max="7965" width="26.5" style="743" customWidth="1"/>
    <col min="7966" max="7966" width="13.125" style="743" customWidth="1"/>
    <col min="7967" max="7967" width="20.625" style="743" customWidth="1"/>
    <col min="7968" max="7968" width="23.375" style="743" customWidth="1"/>
    <col min="7969" max="7969" width="14.125" style="743" customWidth="1"/>
    <col min="7970" max="7970" width="18.875" style="743" customWidth="1"/>
    <col min="7971" max="7971" width="12" style="743" customWidth="1"/>
    <col min="7972" max="7972" width="14" style="743" customWidth="1"/>
    <col min="7973" max="7973" width="17" style="743" customWidth="1"/>
    <col min="7974" max="7974" width="20.375" style="743" customWidth="1"/>
    <col min="7975" max="7975" width="21" style="743" customWidth="1"/>
    <col min="7976" max="7976" width="20.25" style="743" customWidth="1"/>
    <col min="7977" max="7977" width="21.5" style="743" customWidth="1"/>
    <col min="7978" max="7978" width="24.125" style="743" customWidth="1"/>
    <col min="7979" max="7979" width="11.625" style="743" customWidth="1"/>
    <col min="7980" max="7980" width="21.625" style="743" customWidth="1"/>
    <col min="7981" max="7981" width="17.25" style="743" customWidth="1"/>
    <col min="7982" max="7982" width="13.5" style="743" customWidth="1"/>
    <col min="7983" max="7983" width="12.875" style="743" customWidth="1"/>
    <col min="7984" max="7986" width="21.625" style="743" customWidth="1"/>
    <col min="7987" max="7987" width="19.375" style="743" customWidth="1"/>
    <col min="7988" max="7992" width="20.25" style="743" customWidth="1"/>
    <col min="7993" max="7993" width="23" style="743" customWidth="1"/>
    <col min="7994" max="7994" width="10" style="743" customWidth="1"/>
    <col min="7995" max="8192" width="9" style="743"/>
    <col min="8193" max="8193" width="22.25" style="743" customWidth="1"/>
    <col min="8194" max="8194" width="32.375" style="743" customWidth="1"/>
    <col min="8195" max="8195" width="21.75" style="743" customWidth="1"/>
    <col min="8196" max="8202" width="9" style="743"/>
    <col min="8203" max="8203" width="28.625" style="743" customWidth="1"/>
    <col min="8204" max="8204" width="16" style="743" customWidth="1"/>
    <col min="8205" max="8205" width="14.875" style="743" customWidth="1"/>
    <col min="8206" max="8206" width="11.625" style="743" customWidth="1"/>
    <col min="8207" max="8207" width="6.75" style="743" customWidth="1"/>
    <col min="8208" max="8208" width="4.5" style="743" customWidth="1"/>
    <col min="8209" max="8209" width="17.75" style="743" customWidth="1"/>
    <col min="8210" max="8210" width="15.75" style="743" customWidth="1"/>
    <col min="8211" max="8211" width="57.375" style="743" customWidth="1"/>
    <col min="8212" max="8212" width="18.25" style="743" customWidth="1"/>
    <col min="8213" max="8214" width="4.5" style="743" customWidth="1"/>
    <col min="8215" max="8215" width="25.625" style="743" customWidth="1"/>
    <col min="8216" max="8216" width="22.875" style="743" customWidth="1"/>
    <col min="8217" max="8217" width="43.5" style="743" customWidth="1"/>
    <col min="8218" max="8218" width="10.25" style="743" customWidth="1"/>
    <col min="8219" max="8219" width="6.375" style="743" customWidth="1"/>
    <col min="8220" max="8220" width="4.875" style="743" customWidth="1"/>
    <col min="8221" max="8221" width="26.5" style="743" customWidth="1"/>
    <col min="8222" max="8222" width="13.125" style="743" customWidth="1"/>
    <col min="8223" max="8223" width="20.625" style="743" customWidth="1"/>
    <col min="8224" max="8224" width="23.375" style="743" customWidth="1"/>
    <col min="8225" max="8225" width="14.125" style="743" customWidth="1"/>
    <col min="8226" max="8226" width="18.875" style="743" customWidth="1"/>
    <col min="8227" max="8227" width="12" style="743" customWidth="1"/>
    <col min="8228" max="8228" width="14" style="743" customWidth="1"/>
    <col min="8229" max="8229" width="17" style="743" customWidth="1"/>
    <col min="8230" max="8230" width="20.375" style="743" customWidth="1"/>
    <col min="8231" max="8231" width="21" style="743" customWidth="1"/>
    <col min="8232" max="8232" width="20.25" style="743" customWidth="1"/>
    <col min="8233" max="8233" width="21.5" style="743" customWidth="1"/>
    <col min="8234" max="8234" width="24.125" style="743" customWidth="1"/>
    <col min="8235" max="8235" width="11.625" style="743" customWidth="1"/>
    <col min="8236" max="8236" width="21.625" style="743" customWidth="1"/>
    <col min="8237" max="8237" width="17.25" style="743" customWidth="1"/>
    <col min="8238" max="8238" width="13.5" style="743" customWidth="1"/>
    <col min="8239" max="8239" width="12.875" style="743" customWidth="1"/>
    <col min="8240" max="8242" width="21.625" style="743" customWidth="1"/>
    <col min="8243" max="8243" width="19.375" style="743" customWidth="1"/>
    <col min="8244" max="8248" width="20.25" style="743" customWidth="1"/>
    <col min="8249" max="8249" width="23" style="743" customWidth="1"/>
    <col min="8250" max="8250" width="10" style="743" customWidth="1"/>
    <col min="8251" max="8448" width="9" style="743"/>
    <col min="8449" max="8449" width="22.25" style="743" customWidth="1"/>
    <col min="8450" max="8450" width="32.375" style="743" customWidth="1"/>
    <col min="8451" max="8451" width="21.75" style="743" customWidth="1"/>
    <col min="8452" max="8458" width="9" style="743"/>
    <col min="8459" max="8459" width="28.625" style="743" customWidth="1"/>
    <col min="8460" max="8460" width="16" style="743" customWidth="1"/>
    <col min="8461" max="8461" width="14.875" style="743" customWidth="1"/>
    <col min="8462" max="8462" width="11.625" style="743" customWidth="1"/>
    <col min="8463" max="8463" width="6.75" style="743" customWidth="1"/>
    <col min="8464" max="8464" width="4.5" style="743" customWidth="1"/>
    <col min="8465" max="8465" width="17.75" style="743" customWidth="1"/>
    <col min="8466" max="8466" width="15.75" style="743" customWidth="1"/>
    <col min="8467" max="8467" width="57.375" style="743" customWidth="1"/>
    <col min="8468" max="8468" width="18.25" style="743" customWidth="1"/>
    <col min="8469" max="8470" width="4.5" style="743" customWidth="1"/>
    <col min="8471" max="8471" width="25.625" style="743" customWidth="1"/>
    <col min="8472" max="8472" width="22.875" style="743" customWidth="1"/>
    <col min="8473" max="8473" width="43.5" style="743" customWidth="1"/>
    <col min="8474" max="8474" width="10.25" style="743" customWidth="1"/>
    <col min="8475" max="8475" width="6.375" style="743" customWidth="1"/>
    <col min="8476" max="8476" width="4.875" style="743" customWidth="1"/>
    <col min="8477" max="8477" width="26.5" style="743" customWidth="1"/>
    <col min="8478" max="8478" width="13.125" style="743" customWidth="1"/>
    <col min="8479" max="8479" width="20.625" style="743" customWidth="1"/>
    <col min="8480" max="8480" width="23.375" style="743" customWidth="1"/>
    <col min="8481" max="8481" width="14.125" style="743" customWidth="1"/>
    <col min="8482" max="8482" width="18.875" style="743" customWidth="1"/>
    <col min="8483" max="8483" width="12" style="743" customWidth="1"/>
    <col min="8484" max="8484" width="14" style="743" customWidth="1"/>
    <col min="8485" max="8485" width="17" style="743" customWidth="1"/>
    <col min="8486" max="8486" width="20.375" style="743" customWidth="1"/>
    <col min="8487" max="8487" width="21" style="743" customWidth="1"/>
    <col min="8488" max="8488" width="20.25" style="743" customWidth="1"/>
    <col min="8489" max="8489" width="21.5" style="743" customWidth="1"/>
    <col min="8490" max="8490" width="24.125" style="743" customWidth="1"/>
    <col min="8491" max="8491" width="11.625" style="743" customWidth="1"/>
    <col min="8492" max="8492" width="21.625" style="743" customWidth="1"/>
    <col min="8493" max="8493" width="17.25" style="743" customWidth="1"/>
    <col min="8494" max="8494" width="13.5" style="743" customWidth="1"/>
    <col min="8495" max="8495" width="12.875" style="743" customWidth="1"/>
    <col min="8496" max="8498" width="21.625" style="743" customWidth="1"/>
    <col min="8499" max="8499" width="19.375" style="743" customWidth="1"/>
    <col min="8500" max="8504" width="20.25" style="743" customWidth="1"/>
    <col min="8505" max="8505" width="23" style="743" customWidth="1"/>
    <col min="8506" max="8506" width="10" style="743" customWidth="1"/>
    <col min="8507" max="8704" width="9" style="743"/>
    <col min="8705" max="8705" width="22.25" style="743" customWidth="1"/>
    <col min="8706" max="8706" width="32.375" style="743" customWidth="1"/>
    <col min="8707" max="8707" width="21.75" style="743" customWidth="1"/>
    <col min="8708" max="8714" width="9" style="743"/>
    <col min="8715" max="8715" width="28.625" style="743" customWidth="1"/>
    <col min="8716" max="8716" width="16" style="743" customWidth="1"/>
    <col min="8717" max="8717" width="14.875" style="743" customWidth="1"/>
    <col min="8718" max="8718" width="11.625" style="743" customWidth="1"/>
    <col min="8719" max="8719" width="6.75" style="743" customWidth="1"/>
    <col min="8720" max="8720" width="4.5" style="743" customWidth="1"/>
    <col min="8721" max="8721" width="17.75" style="743" customWidth="1"/>
    <col min="8722" max="8722" width="15.75" style="743" customWidth="1"/>
    <col min="8723" max="8723" width="57.375" style="743" customWidth="1"/>
    <col min="8724" max="8724" width="18.25" style="743" customWidth="1"/>
    <col min="8725" max="8726" width="4.5" style="743" customWidth="1"/>
    <col min="8727" max="8727" width="25.625" style="743" customWidth="1"/>
    <col min="8728" max="8728" width="22.875" style="743" customWidth="1"/>
    <col min="8729" max="8729" width="43.5" style="743" customWidth="1"/>
    <col min="8730" max="8730" width="10.25" style="743" customWidth="1"/>
    <col min="8731" max="8731" width="6.375" style="743" customWidth="1"/>
    <col min="8732" max="8732" width="4.875" style="743" customWidth="1"/>
    <col min="8733" max="8733" width="26.5" style="743" customWidth="1"/>
    <col min="8734" max="8734" width="13.125" style="743" customWidth="1"/>
    <col min="8735" max="8735" width="20.625" style="743" customWidth="1"/>
    <col min="8736" max="8736" width="23.375" style="743" customWidth="1"/>
    <col min="8737" max="8737" width="14.125" style="743" customWidth="1"/>
    <col min="8738" max="8738" width="18.875" style="743" customWidth="1"/>
    <col min="8739" max="8739" width="12" style="743" customWidth="1"/>
    <col min="8740" max="8740" width="14" style="743" customWidth="1"/>
    <col min="8741" max="8741" width="17" style="743" customWidth="1"/>
    <col min="8742" max="8742" width="20.375" style="743" customWidth="1"/>
    <col min="8743" max="8743" width="21" style="743" customWidth="1"/>
    <col min="8744" max="8744" width="20.25" style="743" customWidth="1"/>
    <col min="8745" max="8745" width="21.5" style="743" customWidth="1"/>
    <col min="8746" max="8746" width="24.125" style="743" customWidth="1"/>
    <col min="8747" max="8747" width="11.625" style="743" customWidth="1"/>
    <col min="8748" max="8748" width="21.625" style="743" customWidth="1"/>
    <col min="8749" max="8749" width="17.25" style="743" customWidth="1"/>
    <col min="8750" max="8750" width="13.5" style="743" customWidth="1"/>
    <col min="8751" max="8751" width="12.875" style="743" customWidth="1"/>
    <col min="8752" max="8754" width="21.625" style="743" customWidth="1"/>
    <col min="8755" max="8755" width="19.375" style="743" customWidth="1"/>
    <col min="8756" max="8760" width="20.25" style="743" customWidth="1"/>
    <col min="8761" max="8761" width="23" style="743" customWidth="1"/>
    <col min="8762" max="8762" width="10" style="743" customWidth="1"/>
    <col min="8763" max="8960" width="9" style="743"/>
    <col min="8961" max="8961" width="22.25" style="743" customWidth="1"/>
    <col min="8962" max="8962" width="32.375" style="743" customWidth="1"/>
    <col min="8963" max="8963" width="21.75" style="743" customWidth="1"/>
    <col min="8964" max="8970" width="9" style="743"/>
    <col min="8971" max="8971" width="28.625" style="743" customWidth="1"/>
    <col min="8972" max="8972" width="16" style="743" customWidth="1"/>
    <col min="8973" max="8973" width="14.875" style="743" customWidth="1"/>
    <col min="8974" max="8974" width="11.625" style="743" customWidth="1"/>
    <col min="8975" max="8975" width="6.75" style="743" customWidth="1"/>
    <col min="8976" max="8976" width="4.5" style="743" customWidth="1"/>
    <col min="8977" max="8977" width="17.75" style="743" customWidth="1"/>
    <col min="8978" max="8978" width="15.75" style="743" customWidth="1"/>
    <col min="8979" max="8979" width="57.375" style="743" customWidth="1"/>
    <col min="8980" max="8980" width="18.25" style="743" customWidth="1"/>
    <col min="8981" max="8982" width="4.5" style="743" customWidth="1"/>
    <col min="8983" max="8983" width="25.625" style="743" customWidth="1"/>
    <col min="8984" max="8984" width="22.875" style="743" customWidth="1"/>
    <col min="8985" max="8985" width="43.5" style="743" customWidth="1"/>
    <col min="8986" max="8986" width="10.25" style="743" customWidth="1"/>
    <col min="8987" max="8987" width="6.375" style="743" customWidth="1"/>
    <col min="8988" max="8988" width="4.875" style="743" customWidth="1"/>
    <col min="8989" max="8989" width="26.5" style="743" customWidth="1"/>
    <col min="8990" max="8990" width="13.125" style="743" customWidth="1"/>
    <col min="8991" max="8991" width="20.625" style="743" customWidth="1"/>
    <col min="8992" max="8992" width="23.375" style="743" customWidth="1"/>
    <col min="8993" max="8993" width="14.125" style="743" customWidth="1"/>
    <col min="8994" max="8994" width="18.875" style="743" customWidth="1"/>
    <col min="8995" max="8995" width="12" style="743" customWidth="1"/>
    <col min="8996" max="8996" width="14" style="743" customWidth="1"/>
    <col min="8997" max="8997" width="17" style="743" customWidth="1"/>
    <col min="8998" max="8998" width="20.375" style="743" customWidth="1"/>
    <col min="8999" max="8999" width="21" style="743" customWidth="1"/>
    <col min="9000" max="9000" width="20.25" style="743" customWidth="1"/>
    <col min="9001" max="9001" width="21.5" style="743" customWidth="1"/>
    <col min="9002" max="9002" width="24.125" style="743" customWidth="1"/>
    <col min="9003" max="9003" width="11.625" style="743" customWidth="1"/>
    <col min="9004" max="9004" width="21.625" style="743" customWidth="1"/>
    <col min="9005" max="9005" width="17.25" style="743" customWidth="1"/>
    <col min="9006" max="9006" width="13.5" style="743" customWidth="1"/>
    <col min="9007" max="9007" width="12.875" style="743" customWidth="1"/>
    <col min="9008" max="9010" width="21.625" style="743" customWidth="1"/>
    <col min="9011" max="9011" width="19.375" style="743" customWidth="1"/>
    <col min="9012" max="9016" width="20.25" style="743" customWidth="1"/>
    <col min="9017" max="9017" width="23" style="743" customWidth="1"/>
    <col min="9018" max="9018" width="10" style="743" customWidth="1"/>
    <col min="9019" max="9216" width="9" style="743"/>
    <col min="9217" max="9217" width="22.25" style="743" customWidth="1"/>
    <col min="9218" max="9218" width="32.375" style="743" customWidth="1"/>
    <col min="9219" max="9219" width="21.75" style="743" customWidth="1"/>
    <col min="9220" max="9226" width="9" style="743"/>
    <col min="9227" max="9227" width="28.625" style="743" customWidth="1"/>
    <col min="9228" max="9228" width="16" style="743" customWidth="1"/>
    <col min="9229" max="9229" width="14.875" style="743" customWidth="1"/>
    <col min="9230" max="9230" width="11.625" style="743" customWidth="1"/>
    <col min="9231" max="9231" width="6.75" style="743" customWidth="1"/>
    <col min="9232" max="9232" width="4.5" style="743" customWidth="1"/>
    <col min="9233" max="9233" width="17.75" style="743" customWidth="1"/>
    <col min="9234" max="9234" width="15.75" style="743" customWidth="1"/>
    <col min="9235" max="9235" width="57.375" style="743" customWidth="1"/>
    <col min="9236" max="9236" width="18.25" style="743" customWidth="1"/>
    <col min="9237" max="9238" width="4.5" style="743" customWidth="1"/>
    <col min="9239" max="9239" width="25.625" style="743" customWidth="1"/>
    <col min="9240" max="9240" width="22.875" style="743" customWidth="1"/>
    <col min="9241" max="9241" width="43.5" style="743" customWidth="1"/>
    <col min="9242" max="9242" width="10.25" style="743" customWidth="1"/>
    <col min="9243" max="9243" width="6.375" style="743" customWidth="1"/>
    <col min="9244" max="9244" width="4.875" style="743" customWidth="1"/>
    <col min="9245" max="9245" width="26.5" style="743" customWidth="1"/>
    <col min="9246" max="9246" width="13.125" style="743" customWidth="1"/>
    <col min="9247" max="9247" width="20.625" style="743" customWidth="1"/>
    <col min="9248" max="9248" width="23.375" style="743" customWidth="1"/>
    <col min="9249" max="9249" width="14.125" style="743" customWidth="1"/>
    <col min="9250" max="9250" width="18.875" style="743" customWidth="1"/>
    <col min="9251" max="9251" width="12" style="743" customWidth="1"/>
    <col min="9252" max="9252" width="14" style="743" customWidth="1"/>
    <col min="9253" max="9253" width="17" style="743" customWidth="1"/>
    <col min="9254" max="9254" width="20.375" style="743" customWidth="1"/>
    <col min="9255" max="9255" width="21" style="743" customWidth="1"/>
    <col min="9256" max="9256" width="20.25" style="743" customWidth="1"/>
    <col min="9257" max="9257" width="21.5" style="743" customWidth="1"/>
    <col min="9258" max="9258" width="24.125" style="743" customWidth="1"/>
    <col min="9259" max="9259" width="11.625" style="743" customWidth="1"/>
    <col min="9260" max="9260" width="21.625" style="743" customWidth="1"/>
    <col min="9261" max="9261" width="17.25" style="743" customWidth="1"/>
    <col min="9262" max="9262" width="13.5" style="743" customWidth="1"/>
    <col min="9263" max="9263" width="12.875" style="743" customWidth="1"/>
    <col min="9264" max="9266" width="21.625" style="743" customWidth="1"/>
    <col min="9267" max="9267" width="19.375" style="743" customWidth="1"/>
    <col min="9268" max="9272" width="20.25" style="743" customWidth="1"/>
    <col min="9273" max="9273" width="23" style="743" customWidth="1"/>
    <col min="9274" max="9274" width="10" style="743" customWidth="1"/>
    <col min="9275" max="9472" width="9" style="743"/>
    <col min="9473" max="9473" width="22.25" style="743" customWidth="1"/>
    <col min="9474" max="9474" width="32.375" style="743" customWidth="1"/>
    <col min="9475" max="9475" width="21.75" style="743" customWidth="1"/>
    <col min="9476" max="9482" width="9" style="743"/>
    <col min="9483" max="9483" width="28.625" style="743" customWidth="1"/>
    <col min="9484" max="9484" width="16" style="743" customWidth="1"/>
    <col min="9485" max="9485" width="14.875" style="743" customWidth="1"/>
    <col min="9486" max="9486" width="11.625" style="743" customWidth="1"/>
    <col min="9487" max="9487" width="6.75" style="743" customWidth="1"/>
    <col min="9488" max="9488" width="4.5" style="743" customWidth="1"/>
    <col min="9489" max="9489" width="17.75" style="743" customWidth="1"/>
    <col min="9490" max="9490" width="15.75" style="743" customWidth="1"/>
    <col min="9491" max="9491" width="57.375" style="743" customWidth="1"/>
    <col min="9492" max="9492" width="18.25" style="743" customWidth="1"/>
    <col min="9493" max="9494" width="4.5" style="743" customWidth="1"/>
    <col min="9495" max="9495" width="25.625" style="743" customWidth="1"/>
    <col min="9496" max="9496" width="22.875" style="743" customWidth="1"/>
    <col min="9497" max="9497" width="43.5" style="743" customWidth="1"/>
    <col min="9498" max="9498" width="10.25" style="743" customWidth="1"/>
    <col min="9499" max="9499" width="6.375" style="743" customWidth="1"/>
    <col min="9500" max="9500" width="4.875" style="743" customWidth="1"/>
    <col min="9501" max="9501" width="26.5" style="743" customWidth="1"/>
    <col min="9502" max="9502" width="13.125" style="743" customWidth="1"/>
    <col min="9503" max="9503" width="20.625" style="743" customWidth="1"/>
    <col min="9504" max="9504" width="23.375" style="743" customWidth="1"/>
    <col min="9505" max="9505" width="14.125" style="743" customWidth="1"/>
    <col min="9506" max="9506" width="18.875" style="743" customWidth="1"/>
    <col min="9507" max="9507" width="12" style="743" customWidth="1"/>
    <col min="9508" max="9508" width="14" style="743" customWidth="1"/>
    <col min="9509" max="9509" width="17" style="743" customWidth="1"/>
    <col min="9510" max="9510" width="20.375" style="743" customWidth="1"/>
    <col min="9511" max="9511" width="21" style="743" customWidth="1"/>
    <col min="9512" max="9512" width="20.25" style="743" customWidth="1"/>
    <col min="9513" max="9513" width="21.5" style="743" customWidth="1"/>
    <col min="9514" max="9514" width="24.125" style="743" customWidth="1"/>
    <col min="9515" max="9515" width="11.625" style="743" customWidth="1"/>
    <col min="9516" max="9516" width="21.625" style="743" customWidth="1"/>
    <col min="9517" max="9517" width="17.25" style="743" customWidth="1"/>
    <col min="9518" max="9518" width="13.5" style="743" customWidth="1"/>
    <col min="9519" max="9519" width="12.875" style="743" customWidth="1"/>
    <col min="9520" max="9522" width="21.625" style="743" customWidth="1"/>
    <col min="9523" max="9523" width="19.375" style="743" customWidth="1"/>
    <col min="9524" max="9528" width="20.25" style="743" customWidth="1"/>
    <col min="9529" max="9529" width="23" style="743" customWidth="1"/>
    <col min="9530" max="9530" width="10" style="743" customWidth="1"/>
    <col min="9531" max="9728" width="9" style="743"/>
    <col min="9729" max="9729" width="22.25" style="743" customWidth="1"/>
    <col min="9730" max="9730" width="32.375" style="743" customWidth="1"/>
    <col min="9731" max="9731" width="21.75" style="743" customWidth="1"/>
    <col min="9732" max="9738" width="9" style="743"/>
    <col min="9739" max="9739" width="28.625" style="743" customWidth="1"/>
    <col min="9740" max="9740" width="16" style="743" customWidth="1"/>
    <col min="9741" max="9741" width="14.875" style="743" customWidth="1"/>
    <col min="9742" max="9742" width="11.625" style="743" customWidth="1"/>
    <col min="9743" max="9743" width="6.75" style="743" customWidth="1"/>
    <col min="9744" max="9744" width="4.5" style="743" customWidth="1"/>
    <col min="9745" max="9745" width="17.75" style="743" customWidth="1"/>
    <col min="9746" max="9746" width="15.75" style="743" customWidth="1"/>
    <col min="9747" max="9747" width="57.375" style="743" customWidth="1"/>
    <col min="9748" max="9748" width="18.25" style="743" customWidth="1"/>
    <col min="9749" max="9750" width="4.5" style="743" customWidth="1"/>
    <col min="9751" max="9751" width="25.625" style="743" customWidth="1"/>
    <col min="9752" max="9752" width="22.875" style="743" customWidth="1"/>
    <col min="9753" max="9753" width="43.5" style="743" customWidth="1"/>
    <col min="9754" max="9754" width="10.25" style="743" customWidth="1"/>
    <col min="9755" max="9755" width="6.375" style="743" customWidth="1"/>
    <col min="9756" max="9756" width="4.875" style="743" customWidth="1"/>
    <col min="9757" max="9757" width="26.5" style="743" customWidth="1"/>
    <col min="9758" max="9758" width="13.125" style="743" customWidth="1"/>
    <col min="9759" max="9759" width="20.625" style="743" customWidth="1"/>
    <col min="9760" max="9760" width="23.375" style="743" customWidth="1"/>
    <col min="9761" max="9761" width="14.125" style="743" customWidth="1"/>
    <col min="9762" max="9762" width="18.875" style="743" customWidth="1"/>
    <col min="9763" max="9763" width="12" style="743" customWidth="1"/>
    <col min="9764" max="9764" width="14" style="743" customWidth="1"/>
    <col min="9765" max="9765" width="17" style="743" customWidth="1"/>
    <col min="9766" max="9766" width="20.375" style="743" customWidth="1"/>
    <col min="9767" max="9767" width="21" style="743" customWidth="1"/>
    <col min="9768" max="9768" width="20.25" style="743" customWidth="1"/>
    <col min="9769" max="9769" width="21.5" style="743" customWidth="1"/>
    <col min="9770" max="9770" width="24.125" style="743" customWidth="1"/>
    <col min="9771" max="9771" width="11.625" style="743" customWidth="1"/>
    <col min="9772" max="9772" width="21.625" style="743" customWidth="1"/>
    <col min="9773" max="9773" width="17.25" style="743" customWidth="1"/>
    <col min="9774" max="9774" width="13.5" style="743" customWidth="1"/>
    <col min="9775" max="9775" width="12.875" style="743" customWidth="1"/>
    <col min="9776" max="9778" width="21.625" style="743" customWidth="1"/>
    <col min="9779" max="9779" width="19.375" style="743" customWidth="1"/>
    <col min="9780" max="9784" width="20.25" style="743" customWidth="1"/>
    <col min="9785" max="9785" width="23" style="743" customWidth="1"/>
    <col min="9786" max="9786" width="10" style="743" customWidth="1"/>
    <col min="9787" max="9984" width="9" style="743"/>
    <col min="9985" max="9985" width="22.25" style="743" customWidth="1"/>
    <col min="9986" max="9986" width="32.375" style="743" customWidth="1"/>
    <col min="9987" max="9987" width="21.75" style="743" customWidth="1"/>
    <col min="9988" max="9994" width="9" style="743"/>
    <col min="9995" max="9995" width="28.625" style="743" customWidth="1"/>
    <col min="9996" max="9996" width="16" style="743" customWidth="1"/>
    <col min="9997" max="9997" width="14.875" style="743" customWidth="1"/>
    <col min="9998" max="9998" width="11.625" style="743" customWidth="1"/>
    <col min="9999" max="9999" width="6.75" style="743" customWidth="1"/>
    <col min="10000" max="10000" width="4.5" style="743" customWidth="1"/>
    <col min="10001" max="10001" width="17.75" style="743" customWidth="1"/>
    <col min="10002" max="10002" width="15.75" style="743" customWidth="1"/>
    <col min="10003" max="10003" width="57.375" style="743" customWidth="1"/>
    <col min="10004" max="10004" width="18.25" style="743" customWidth="1"/>
    <col min="10005" max="10006" width="4.5" style="743" customWidth="1"/>
    <col min="10007" max="10007" width="25.625" style="743" customWidth="1"/>
    <col min="10008" max="10008" width="22.875" style="743" customWidth="1"/>
    <col min="10009" max="10009" width="43.5" style="743" customWidth="1"/>
    <col min="10010" max="10010" width="10.25" style="743" customWidth="1"/>
    <col min="10011" max="10011" width="6.375" style="743" customWidth="1"/>
    <col min="10012" max="10012" width="4.875" style="743" customWidth="1"/>
    <col min="10013" max="10013" width="26.5" style="743" customWidth="1"/>
    <col min="10014" max="10014" width="13.125" style="743" customWidth="1"/>
    <col min="10015" max="10015" width="20.625" style="743" customWidth="1"/>
    <col min="10016" max="10016" width="23.375" style="743" customWidth="1"/>
    <col min="10017" max="10017" width="14.125" style="743" customWidth="1"/>
    <col min="10018" max="10018" width="18.875" style="743" customWidth="1"/>
    <col min="10019" max="10019" width="12" style="743" customWidth="1"/>
    <col min="10020" max="10020" width="14" style="743" customWidth="1"/>
    <col min="10021" max="10021" width="17" style="743" customWidth="1"/>
    <col min="10022" max="10022" width="20.375" style="743" customWidth="1"/>
    <col min="10023" max="10023" width="21" style="743" customWidth="1"/>
    <col min="10024" max="10024" width="20.25" style="743" customWidth="1"/>
    <col min="10025" max="10025" width="21.5" style="743" customWidth="1"/>
    <col min="10026" max="10026" width="24.125" style="743" customWidth="1"/>
    <col min="10027" max="10027" width="11.625" style="743" customWidth="1"/>
    <col min="10028" max="10028" width="21.625" style="743" customWidth="1"/>
    <col min="10029" max="10029" width="17.25" style="743" customWidth="1"/>
    <col min="10030" max="10030" width="13.5" style="743" customWidth="1"/>
    <col min="10031" max="10031" width="12.875" style="743" customWidth="1"/>
    <col min="10032" max="10034" width="21.625" style="743" customWidth="1"/>
    <col min="10035" max="10035" width="19.375" style="743" customWidth="1"/>
    <col min="10036" max="10040" width="20.25" style="743" customWidth="1"/>
    <col min="10041" max="10041" width="23" style="743" customWidth="1"/>
    <col min="10042" max="10042" width="10" style="743" customWidth="1"/>
    <col min="10043" max="10240" width="9" style="743"/>
    <col min="10241" max="10241" width="22.25" style="743" customWidth="1"/>
    <col min="10242" max="10242" width="32.375" style="743" customWidth="1"/>
    <col min="10243" max="10243" width="21.75" style="743" customWidth="1"/>
    <col min="10244" max="10250" width="9" style="743"/>
    <col min="10251" max="10251" width="28.625" style="743" customWidth="1"/>
    <col min="10252" max="10252" width="16" style="743" customWidth="1"/>
    <col min="10253" max="10253" width="14.875" style="743" customWidth="1"/>
    <col min="10254" max="10254" width="11.625" style="743" customWidth="1"/>
    <col min="10255" max="10255" width="6.75" style="743" customWidth="1"/>
    <col min="10256" max="10256" width="4.5" style="743" customWidth="1"/>
    <col min="10257" max="10257" width="17.75" style="743" customWidth="1"/>
    <col min="10258" max="10258" width="15.75" style="743" customWidth="1"/>
    <col min="10259" max="10259" width="57.375" style="743" customWidth="1"/>
    <col min="10260" max="10260" width="18.25" style="743" customWidth="1"/>
    <col min="10261" max="10262" width="4.5" style="743" customWidth="1"/>
    <col min="10263" max="10263" width="25.625" style="743" customWidth="1"/>
    <col min="10264" max="10264" width="22.875" style="743" customWidth="1"/>
    <col min="10265" max="10265" width="43.5" style="743" customWidth="1"/>
    <col min="10266" max="10266" width="10.25" style="743" customWidth="1"/>
    <col min="10267" max="10267" width="6.375" style="743" customWidth="1"/>
    <col min="10268" max="10268" width="4.875" style="743" customWidth="1"/>
    <col min="10269" max="10269" width="26.5" style="743" customWidth="1"/>
    <col min="10270" max="10270" width="13.125" style="743" customWidth="1"/>
    <col min="10271" max="10271" width="20.625" style="743" customWidth="1"/>
    <col min="10272" max="10272" width="23.375" style="743" customWidth="1"/>
    <col min="10273" max="10273" width="14.125" style="743" customWidth="1"/>
    <col min="10274" max="10274" width="18.875" style="743" customWidth="1"/>
    <col min="10275" max="10275" width="12" style="743" customWidth="1"/>
    <col min="10276" max="10276" width="14" style="743" customWidth="1"/>
    <col min="10277" max="10277" width="17" style="743" customWidth="1"/>
    <col min="10278" max="10278" width="20.375" style="743" customWidth="1"/>
    <col min="10279" max="10279" width="21" style="743" customWidth="1"/>
    <col min="10280" max="10280" width="20.25" style="743" customWidth="1"/>
    <col min="10281" max="10281" width="21.5" style="743" customWidth="1"/>
    <col min="10282" max="10282" width="24.125" style="743" customWidth="1"/>
    <col min="10283" max="10283" width="11.625" style="743" customWidth="1"/>
    <col min="10284" max="10284" width="21.625" style="743" customWidth="1"/>
    <col min="10285" max="10285" width="17.25" style="743" customWidth="1"/>
    <col min="10286" max="10286" width="13.5" style="743" customWidth="1"/>
    <col min="10287" max="10287" width="12.875" style="743" customWidth="1"/>
    <col min="10288" max="10290" width="21.625" style="743" customWidth="1"/>
    <col min="10291" max="10291" width="19.375" style="743" customWidth="1"/>
    <col min="10292" max="10296" width="20.25" style="743" customWidth="1"/>
    <col min="10297" max="10297" width="23" style="743" customWidth="1"/>
    <col min="10298" max="10298" width="10" style="743" customWidth="1"/>
    <col min="10299" max="10496" width="9" style="743"/>
    <col min="10497" max="10497" width="22.25" style="743" customWidth="1"/>
    <col min="10498" max="10498" width="32.375" style="743" customWidth="1"/>
    <col min="10499" max="10499" width="21.75" style="743" customWidth="1"/>
    <col min="10500" max="10506" width="9" style="743"/>
    <col min="10507" max="10507" width="28.625" style="743" customWidth="1"/>
    <col min="10508" max="10508" width="16" style="743" customWidth="1"/>
    <col min="10509" max="10509" width="14.875" style="743" customWidth="1"/>
    <col min="10510" max="10510" width="11.625" style="743" customWidth="1"/>
    <col min="10511" max="10511" width="6.75" style="743" customWidth="1"/>
    <col min="10512" max="10512" width="4.5" style="743" customWidth="1"/>
    <col min="10513" max="10513" width="17.75" style="743" customWidth="1"/>
    <col min="10514" max="10514" width="15.75" style="743" customWidth="1"/>
    <col min="10515" max="10515" width="57.375" style="743" customWidth="1"/>
    <col min="10516" max="10516" width="18.25" style="743" customWidth="1"/>
    <col min="10517" max="10518" width="4.5" style="743" customWidth="1"/>
    <col min="10519" max="10519" width="25.625" style="743" customWidth="1"/>
    <col min="10520" max="10520" width="22.875" style="743" customWidth="1"/>
    <col min="10521" max="10521" width="43.5" style="743" customWidth="1"/>
    <col min="10522" max="10522" width="10.25" style="743" customWidth="1"/>
    <col min="10523" max="10523" width="6.375" style="743" customWidth="1"/>
    <col min="10524" max="10524" width="4.875" style="743" customWidth="1"/>
    <col min="10525" max="10525" width="26.5" style="743" customWidth="1"/>
    <col min="10526" max="10526" width="13.125" style="743" customWidth="1"/>
    <col min="10527" max="10527" width="20.625" style="743" customWidth="1"/>
    <col min="10528" max="10528" width="23.375" style="743" customWidth="1"/>
    <col min="10529" max="10529" width="14.125" style="743" customWidth="1"/>
    <col min="10530" max="10530" width="18.875" style="743" customWidth="1"/>
    <col min="10531" max="10531" width="12" style="743" customWidth="1"/>
    <col min="10532" max="10532" width="14" style="743" customWidth="1"/>
    <col min="10533" max="10533" width="17" style="743" customWidth="1"/>
    <col min="10534" max="10534" width="20.375" style="743" customWidth="1"/>
    <col min="10535" max="10535" width="21" style="743" customWidth="1"/>
    <col min="10536" max="10536" width="20.25" style="743" customWidth="1"/>
    <col min="10537" max="10537" width="21.5" style="743" customWidth="1"/>
    <col min="10538" max="10538" width="24.125" style="743" customWidth="1"/>
    <col min="10539" max="10539" width="11.625" style="743" customWidth="1"/>
    <col min="10540" max="10540" width="21.625" style="743" customWidth="1"/>
    <col min="10541" max="10541" width="17.25" style="743" customWidth="1"/>
    <col min="10542" max="10542" width="13.5" style="743" customWidth="1"/>
    <col min="10543" max="10543" width="12.875" style="743" customWidth="1"/>
    <col min="10544" max="10546" width="21.625" style="743" customWidth="1"/>
    <col min="10547" max="10547" width="19.375" style="743" customWidth="1"/>
    <col min="10548" max="10552" width="20.25" style="743" customWidth="1"/>
    <col min="10553" max="10553" width="23" style="743" customWidth="1"/>
    <col min="10554" max="10554" width="10" style="743" customWidth="1"/>
    <col min="10555" max="10752" width="9" style="743"/>
    <col min="10753" max="10753" width="22.25" style="743" customWidth="1"/>
    <col min="10754" max="10754" width="32.375" style="743" customWidth="1"/>
    <col min="10755" max="10755" width="21.75" style="743" customWidth="1"/>
    <col min="10756" max="10762" width="9" style="743"/>
    <col min="10763" max="10763" width="28.625" style="743" customWidth="1"/>
    <col min="10764" max="10764" width="16" style="743" customWidth="1"/>
    <col min="10765" max="10765" width="14.875" style="743" customWidth="1"/>
    <col min="10766" max="10766" width="11.625" style="743" customWidth="1"/>
    <col min="10767" max="10767" width="6.75" style="743" customWidth="1"/>
    <col min="10768" max="10768" width="4.5" style="743" customWidth="1"/>
    <col min="10769" max="10769" width="17.75" style="743" customWidth="1"/>
    <col min="10770" max="10770" width="15.75" style="743" customWidth="1"/>
    <col min="10771" max="10771" width="57.375" style="743" customWidth="1"/>
    <col min="10772" max="10772" width="18.25" style="743" customWidth="1"/>
    <col min="10773" max="10774" width="4.5" style="743" customWidth="1"/>
    <col min="10775" max="10775" width="25.625" style="743" customWidth="1"/>
    <col min="10776" max="10776" width="22.875" style="743" customWidth="1"/>
    <col min="10777" max="10777" width="43.5" style="743" customWidth="1"/>
    <col min="10778" max="10778" width="10.25" style="743" customWidth="1"/>
    <col min="10779" max="10779" width="6.375" style="743" customWidth="1"/>
    <col min="10780" max="10780" width="4.875" style="743" customWidth="1"/>
    <col min="10781" max="10781" width="26.5" style="743" customWidth="1"/>
    <col min="10782" max="10782" width="13.125" style="743" customWidth="1"/>
    <col min="10783" max="10783" width="20.625" style="743" customWidth="1"/>
    <col min="10784" max="10784" width="23.375" style="743" customWidth="1"/>
    <col min="10785" max="10785" width="14.125" style="743" customWidth="1"/>
    <col min="10786" max="10786" width="18.875" style="743" customWidth="1"/>
    <col min="10787" max="10787" width="12" style="743" customWidth="1"/>
    <col min="10788" max="10788" width="14" style="743" customWidth="1"/>
    <col min="10789" max="10789" width="17" style="743" customWidth="1"/>
    <col min="10790" max="10790" width="20.375" style="743" customWidth="1"/>
    <col min="10791" max="10791" width="21" style="743" customWidth="1"/>
    <col min="10792" max="10792" width="20.25" style="743" customWidth="1"/>
    <col min="10793" max="10793" width="21.5" style="743" customWidth="1"/>
    <col min="10794" max="10794" width="24.125" style="743" customWidth="1"/>
    <col min="10795" max="10795" width="11.625" style="743" customWidth="1"/>
    <col min="10796" max="10796" width="21.625" style="743" customWidth="1"/>
    <col min="10797" max="10797" width="17.25" style="743" customWidth="1"/>
    <col min="10798" max="10798" width="13.5" style="743" customWidth="1"/>
    <col min="10799" max="10799" width="12.875" style="743" customWidth="1"/>
    <col min="10800" max="10802" width="21.625" style="743" customWidth="1"/>
    <col min="10803" max="10803" width="19.375" style="743" customWidth="1"/>
    <col min="10804" max="10808" width="20.25" style="743" customWidth="1"/>
    <col min="10809" max="10809" width="23" style="743" customWidth="1"/>
    <col min="10810" max="10810" width="10" style="743" customWidth="1"/>
    <col min="10811" max="11008" width="9" style="743"/>
    <col min="11009" max="11009" width="22.25" style="743" customWidth="1"/>
    <col min="11010" max="11010" width="32.375" style="743" customWidth="1"/>
    <col min="11011" max="11011" width="21.75" style="743" customWidth="1"/>
    <col min="11012" max="11018" width="9" style="743"/>
    <col min="11019" max="11019" width="28.625" style="743" customWidth="1"/>
    <col min="11020" max="11020" width="16" style="743" customWidth="1"/>
    <col min="11021" max="11021" width="14.875" style="743" customWidth="1"/>
    <col min="11022" max="11022" width="11.625" style="743" customWidth="1"/>
    <col min="11023" max="11023" width="6.75" style="743" customWidth="1"/>
    <col min="11024" max="11024" width="4.5" style="743" customWidth="1"/>
    <col min="11025" max="11025" width="17.75" style="743" customWidth="1"/>
    <col min="11026" max="11026" width="15.75" style="743" customWidth="1"/>
    <col min="11027" max="11027" width="57.375" style="743" customWidth="1"/>
    <col min="11028" max="11028" width="18.25" style="743" customWidth="1"/>
    <col min="11029" max="11030" width="4.5" style="743" customWidth="1"/>
    <col min="11031" max="11031" width="25.625" style="743" customWidth="1"/>
    <col min="11032" max="11032" width="22.875" style="743" customWidth="1"/>
    <col min="11033" max="11033" width="43.5" style="743" customWidth="1"/>
    <col min="11034" max="11034" width="10.25" style="743" customWidth="1"/>
    <col min="11035" max="11035" width="6.375" style="743" customWidth="1"/>
    <col min="11036" max="11036" width="4.875" style="743" customWidth="1"/>
    <col min="11037" max="11037" width="26.5" style="743" customWidth="1"/>
    <col min="11038" max="11038" width="13.125" style="743" customWidth="1"/>
    <col min="11039" max="11039" width="20.625" style="743" customWidth="1"/>
    <col min="11040" max="11040" width="23.375" style="743" customWidth="1"/>
    <col min="11041" max="11041" width="14.125" style="743" customWidth="1"/>
    <col min="11042" max="11042" width="18.875" style="743" customWidth="1"/>
    <col min="11043" max="11043" width="12" style="743" customWidth="1"/>
    <col min="11044" max="11044" width="14" style="743" customWidth="1"/>
    <col min="11045" max="11045" width="17" style="743" customWidth="1"/>
    <col min="11046" max="11046" width="20.375" style="743" customWidth="1"/>
    <col min="11047" max="11047" width="21" style="743" customWidth="1"/>
    <col min="11048" max="11048" width="20.25" style="743" customWidth="1"/>
    <col min="11049" max="11049" width="21.5" style="743" customWidth="1"/>
    <col min="11050" max="11050" width="24.125" style="743" customWidth="1"/>
    <col min="11051" max="11051" width="11.625" style="743" customWidth="1"/>
    <col min="11052" max="11052" width="21.625" style="743" customWidth="1"/>
    <col min="11053" max="11053" width="17.25" style="743" customWidth="1"/>
    <col min="11054" max="11054" width="13.5" style="743" customWidth="1"/>
    <col min="11055" max="11055" width="12.875" style="743" customWidth="1"/>
    <col min="11056" max="11058" width="21.625" style="743" customWidth="1"/>
    <col min="11059" max="11059" width="19.375" style="743" customWidth="1"/>
    <col min="11060" max="11064" width="20.25" style="743" customWidth="1"/>
    <col min="11065" max="11065" width="23" style="743" customWidth="1"/>
    <col min="11066" max="11066" width="10" style="743" customWidth="1"/>
    <col min="11067" max="11264" width="9" style="743"/>
    <col min="11265" max="11265" width="22.25" style="743" customWidth="1"/>
    <col min="11266" max="11266" width="32.375" style="743" customWidth="1"/>
    <col min="11267" max="11267" width="21.75" style="743" customWidth="1"/>
    <col min="11268" max="11274" width="9" style="743"/>
    <col min="11275" max="11275" width="28.625" style="743" customWidth="1"/>
    <col min="11276" max="11276" width="16" style="743" customWidth="1"/>
    <col min="11277" max="11277" width="14.875" style="743" customWidth="1"/>
    <col min="11278" max="11278" width="11.625" style="743" customWidth="1"/>
    <col min="11279" max="11279" width="6.75" style="743" customWidth="1"/>
    <col min="11280" max="11280" width="4.5" style="743" customWidth="1"/>
    <col min="11281" max="11281" width="17.75" style="743" customWidth="1"/>
    <col min="11282" max="11282" width="15.75" style="743" customWidth="1"/>
    <col min="11283" max="11283" width="57.375" style="743" customWidth="1"/>
    <col min="11284" max="11284" width="18.25" style="743" customWidth="1"/>
    <col min="11285" max="11286" width="4.5" style="743" customWidth="1"/>
    <col min="11287" max="11287" width="25.625" style="743" customWidth="1"/>
    <col min="11288" max="11288" width="22.875" style="743" customWidth="1"/>
    <col min="11289" max="11289" width="43.5" style="743" customWidth="1"/>
    <col min="11290" max="11290" width="10.25" style="743" customWidth="1"/>
    <col min="11291" max="11291" width="6.375" style="743" customWidth="1"/>
    <col min="11292" max="11292" width="4.875" style="743" customWidth="1"/>
    <col min="11293" max="11293" width="26.5" style="743" customWidth="1"/>
    <col min="11294" max="11294" width="13.125" style="743" customWidth="1"/>
    <col min="11295" max="11295" width="20.625" style="743" customWidth="1"/>
    <col min="11296" max="11296" width="23.375" style="743" customWidth="1"/>
    <col min="11297" max="11297" width="14.125" style="743" customWidth="1"/>
    <col min="11298" max="11298" width="18.875" style="743" customWidth="1"/>
    <col min="11299" max="11299" width="12" style="743" customWidth="1"/>
    <col min="11300" max="11300" width="14" style="743" customWidth="1"/>
    <col min="11301" max="11301" width="17" style="743" customWidth="1"/>
    <col min="11302" max="11302" width="20.375" style="743" customWidth="1"/>
    <col min="11303" max="11303" width="21" style="743" customWidth="1"/>
    <col min="11304" max="11304" width="20.25" style="743" customWidth="1"/>
    <col min="11305" max="11305" width="21.5" style="743" customWidth="1"/>
    <col min="11306" max="11306" width="24.125" style="743" customWidth="1"/>
    <col min="11307" max="11307" width="11.625" style="743" customWidth="1"/>
    <col min="11308" max="11308" width="21.625" style="743" customWidth="1"/>
    <col min="11309" max="11309" width="17.25" style="743" customWidth="1"/>
    <col min="11310" max="11310" width="13.5" style="743" customWidth="1"/>
    <col min="11311" max="11311" width="12.875" style="743" customWidth="1"/>
    <col min="11312" max="11314" width="21.625" style="743" customWidth="1"/>
    <col min="11315" max="11315" width="19.375" style="743" customWidth="1"/>
    <col min="11316" max="11320" width="20.25" style="743" customWidth="1"/>
    <col min="11321" max="11321" width="23" style="743" customWidth="1"/>
    <col min="11322" max="11322" width="10" style="743" customWidth="1"/>
    <col min="11323" max="11520" width="9" style="743"/>
    <col min="11521" max="11521" width="22.25" style="743" customWidth="1"/>
    <col min="11522" max="11522" width="32.375" style="743" customWidth="1"/>
    <col min="11523" max="11523" width="21.75" style="743" customWidth="1"/>
    <col min="11524" max="11530" width="9" style="743"/>
    <col min="11531" max="11531" width="28.625" style="743" customWidth="1"/>
    <col min="11532" max="11532" width="16" style="743" customWidth="1"/>
    <col min="11533" max="11533" width="14.875" style="743" customWidth="1"/>
    <col min="11534" max="11534" width="11.625" style="743" customWidth="1"/>
    <col min="11535" max="11535" width="6.75" style="743" customWidth="1"/>
    <col min="11536" max="11536" width="4.5" style="743" customWidth="1"/>
    <col min="11537" max="11537" width="17.75" style="743" customWidth="1"/>
    <col min="11538" max="11538" width="15.75" style="743" customWidth="1"/>
    <col min="11539" max="11539" width="57.375" style="743" customWidth="1"/>
    <col min="11540" max="11540" width="18.25" style="743" customWidth="1"/>
    <col min="11541" max="11542" width="4.5" style="743" customWidth="1"/>
    <col min="11543" max="11543" width="25.625" style="743" customWidth="1"/>
    <col min="11544" max="11544" width="22.875" style="743" customWidth="1"/>
    <col min="11545" max="11545" width="43.5" style="743" customWidth="1"/>
    <col min="11546" max="11546" width="10.25" style="743" customWidth="1"/>
    <col min="11547" max="11547" width="6.375" style="743" customWidth="1"/>
    <col min="11548" max="11548" width="4.875" style="743" customWidth="1"/>
    <col min="11549" max="11549" width="26.5" style="743" customWidth="1"/>
    <col min="11550" max="11550" width="13.125" style="743" customWidth="1"/>
    <col min="11551" max="11551" width="20.625" style="743" customWidth="1"/>
    <col min="11552" max="11552" width="23.375" style="743" customWidth="1"/>
    <col min="11553" max="11553" width="14.125" style="743" customWidth="1"/>
    <col min="11554" max="11554" width="18.875" style="743" customWidth="1"/>
    <col min="11555" max="11555" width="12" style="743" customWidth="1"/>
    <col min="11556" max="11556" width="14" style="743" customWidth="1"/>
    <col min="11557" max="11557" width="17" style="743" customWidth="1"/>
    <col min="11558" max="11558" width="20.375" style="743" customWidth="1"/>
    <col min="11559" max="11559" width="21" style="743" customWidth="1"/>
    <col min="11560" max="11560" width="20.25" style="743" customWidth="1"/>
    <col min="11561" max="11561" width="21.5" style="743" customWidth="1"/>
    <col min="11562" max="11562" width="24.125" style="743" customWidth="1"/>
    <col min="11563" max="11563" width="11.625" style="743" customWidth="1"/>
    <col min="11564" max="11564" width="21.625" style="743" customWidth="1"/>
    <col min="11565" max="11565" width="17.25" style="743" customWidth="1"/>
    <col min="11566" max="11566" width="13.5" style="743" customWidth="1"/>
    <col min="11567" max="11567" width="12.875" style="743" customWidth="1"/>
    <col min="11568" max="11570" width="21.625" style="743" customWidth="1"/>
    <col min="11571" max="11571" width="19.375" style="743" customWidth="1"/>
    <col min="11572" max="11576" width="20.25" style="743" customWidth="1"/>
    <col min="11577" max="11577" width="23" style="743" customWidth="1"/>
    <col min="11578" max="11578" width="10" style="743" customWidth="1"/>
    <col min="11579" max="11776" width="9" style="743"/>
    <col min="11777" max="11777" width="22.25" style="743" customWidth="1"/>
    <col min="11778" max="11778" width="32.375" style="743" customWidth="1"/>
    <col min="11779" max="11779" width="21.75" style="743" customWidth="1"/>
    <col min="11780" max="11786" width="9" style="743"/>
    <col min="11787" max="11787" width="28.625" style="743" customWidth="1"/>
    <col min="11788" max="11788" width="16" style="743" customWidth="1"/>
    <col min="11789" max="11789" width="14.875" style="743" customWidth="1"/>
    <col min="11790" max="11790" width="11.625" style="743" customWidth="1"/>
    <col min="11791" max="11791" width="6.75" style="743" customWidth="1"/>
    <col min="11792" max="11792" width="4.5" style="743" customWidth="1"/>
    <col min="11793" max="11793" width="17.75" style="743" customWidth="1"/>
    <col min="11794" max="11794" width="15.75" style="743" customWidth="1"/>
    <col min="11795" max="11795" width="57.375" style="743" customWidth="1"/>
    <col min="11796" max="11796" width="18.25" style="743" customWidth="1"/>
    <col min="11797" max="11798" width="4.5" style="743" customWidth="1"/>
    <col min="11799" max="11799" width="25.625" style="743" customWidth="1"/>
    <col min="11800" max="11800" width="22.875" style="743" customWidth="1"/>
    <col min="11801" max="11801" width="43.5" style="743" customWidth="1"/>
    <col min="11802" max="11802" width="10.25" style="743" customWidth="1"/>
    <col min="11803" max="11803" width="6.375" style="743" customWidth="1"/>
    <col min="11804" max="11804" width="4.875" style="743" customWidth="1"/>
    <col min="11805" max="11805" width="26.5" style="743" customWidth="1"/>
    <col min="11806" max="11806" width="13.125" style="743" customWidth="1"/>
    <col min="11807" max="11807" width="20.625" style="743" customWidth="1"/>
    <col min="11808" max="11808" width="23.375" style="743" customWidth="1"/>
    <col min="11809" max="11809" width="14.125" style="743" customWidth="1"/>
    <col min="11810" max="11810" width="18.875" style="743" customWidth="1"/>
    <col min="11811" max="11811" width="12" style="743" customWidth="1"/>
    <col min="11812" max="11812" width="14" style="743" customWidth="1"/>
    <col min="11813" max="11813" width="17" style="743" customWidth="1"/>
    <col min="11814" max="11814" width="20.375" style="743" customWidth="1"/>
    <col min="11815" max="11815" width="21" style="743" customWidth="1"/>
    <col min="11816" max="11816" width="20.25" style="743" customWidth="1"/>
    <col min="11817" max="11817" width="21.5" style="743" customWidth="1"/>
    <col min="11818" max="11818" width="24.125" style="743" customWidth="1"/>
    <col min="11819" max="11819" width="11.625" style="743" customWidth="1"/>
    <col min="11820" max="11820" width="21.625" style="743" customWidth="1"/>
    <col min="11821" max="11821" width="17.25" style="743" customWidth="1"/>
    <col min="11822" max="11822" width="13.5" style="743" customWidth="1"/>
    <col min="11823" max="11823" width="12.875" style="743" customWidth="1"/>
    <col min="11824" max="11826" width="21.625" style="743" customWidth="1"/>
    <col min="11827" max="11827" width="19.375" style="743" customWidth="1"/>
    <col min="11828" max="11832" width="20.25" style="743" customWidth="1"/>
    <col min="11833" max="11833" width="23" style="743" customWidth="1"/>
    <col min="11834" max="11834" width="10" style="743" customWidth="1"/>
    <col min="11835" max="12032" width="9" style="743"/>
    <col min="12033" max="12033" width="22.25" style="743" customWidth="1"/>
    <col min="12034" max="12034" width="32.375" style="743" customWidth="1"/>
    <col min="12035" max="12035" width="21.75" style="743" customWidth="1"/>
    <col min="12036" max="12042" width="9" style="743"/>
    <col min="12043" max="12043" width="28.625" style="743" customWidth="1"/>
    <col min="12044" max="12044" width="16" style="743" customWidth="1"/>
    <col min="12045" max="12045" width="14.875" style="743" customWidth="1"/>
    <col min="12046" max="12046" width="11.625" style="743" customWidth="1"/>
    <col min="12047" max="12047" width="6.75" style="743" customWidth="1"/>
    <col min="12048" max="12048" width="4.5" style="743" customWidth="1"/>
    <col min="12049" max="12049" width="17.75" style="743" customWidth="1"/>
    <col min="12050" max="12050" width="15.75" style="743" customWidth="1"/>
    <col min="12051" max="12051" width="57.375" style="743" customWidth="1"/>
    <col min="12052" max="12052" width="18.25" style="743" customWidth="1"/>
    <col min="12053" max="12054" width="4.5" style="743" customWidth="1"/>
    <col min="12055" max="12055" width="25.625" style="743" customWidth="1"/>
    <col min="12056" max="12056" width="22.875" style="743" customWidth="1"/>
    <col min="12057" max="12057" width="43.5" style="743" customWidth="1"/>
    <col min="12058" max="12058" width="10.25" style="743" customWidth="1"/>
    <col min="12059" max="12059" width="6.375" style="743" customWidth="1"/>
    <col min="12060" max="12060" width="4.875" style="743" customWidth="1"/>
    <col min="12061" max="12061" width="26.5" style="743" customWidth="1"/>
    <col min="12062" max="12062" width="13.125" style="743" customWidth="1"/>
    <col min="12063" max="12063" width="20.625" style="743" customWidth="1"/>
    <col min="12064" max="12064" width="23.375" style="743" customWidth="1"/>
    <col min="12065" max="12065" width="14.125" style="743" customWidth="1"/>
    <col min="12066" max="12066" width="18.875" style="743" customWidth="1"/>
    <col min="12067" max="12067" width="12" style="743" customWidth="1"/>
    <col min="12068" max="12068" width="14" style="743" customWidth="1"/>
    <col min="12069" max="12069" width="17" style="743" customWidth="1"/>
    <col min="12070" max="12070" width="20.375" style="743" customWidth="1"/>
    <col min="12071" max="12071" width="21" style="743" customWidth="1"/>
    <col min="12072" max="12072" width="20.25" style="743" customWidth="1"/>
    <col min="12073" max="12073" width="21.5" style="743" customWidth="1"/>
    <col min="12074" max="12074" width="24.125" style="743" customWidth="1"/>
    <col min="12075" max="12075" width="11.625" style="743" customWidth="1"/>
    <col min="12076" max="12076" width="21.625" style="743" customWidth="1"/>
    <col min="12077" max="12077" width="17.25" style="743" customWidth="1"/>
    <col min="12078" max="12078" width="13.5" style="743" customWidth="1"/>
    <col min="12079" max="12079" width="12.875" style="743" customWidth="1"/>
    <col min="12080" max="12082" width="21.625" style="743" customWidth="1"/>
    <col min="12083" max="12083" width="19.375" style="743" customWidth="1"/>
    <col min="12084" max="12088" width="20.25" style="743" customWidth="1"/>
    <col min="12089" max="12089" width="23" style="743" customWidth="1"/>
    <col min="12090" max="12090" width="10" style="743" customWidth="1"/>
    <col min="12091" max="12288" width="9" style="743"/>
    <col min="12289" max="12289" width="22.25" style="743" customWidth="1"/>
    <col min="12290" max="12290" width="32.375" style="743" customWidth="1"/>
    <col min="12291" max="12291" width="21.75" style="743" customWidth="1"/>
    <col min="12292" max="12298" width="9" style="743"/>
    <col min="12299" max="12299" width="28.625" style="743" customWidth="1"/>
    <col min="12300" max="12300" width="16" style="743" customWidth="1"/>
    <col min="12301" max="12301" width="14.875" style="743" customWidth="1"/>
    <col min="12302" max="12302" width="11.625" style="743" customWidth="1"/>
    <col min="12303" max="12303" width="6.75" style="743" customWidth="1"/>
    <col min="12304" max="12304" width="4.5" style="743" customWidth="1"/>
    <col min="12305" max="12305" width="17.75" style="743" customWidth="1"/>
    <col min="12306" max="12306" width="15.75" style="743" customWidth="1"/>
    <col min="12307" max="12307" width="57.375" style="743" customWidth="1"/>
    <col min="12308" max="12308" width="18.25" style="743" customWidth="1"/>
    <col min="12309" max="12310" width="4.5" style="743" customWidth="1"/>
    <col min="12311" max="12311" width="25.625" style="743" customWidth="1"/>
    <col min="12312" max="12312" width="22.875" style="743" customWidth="1"/>
    <col min="12313" max="12313" width="43.5" style="743" customWidth="1"/>
    <col min="12314" max="12314" width="10.25" style="743" customWidth="1"/>
    <col min="12315" max="12315" width="6.375" style="743" customWidth="1"/>
    <col min="12316" max="12316" width="4.875" style="743" customWidth="1"/>
    <col min="12317" max="12317" width="26.5" style="743" customWidth="1"/>
    <col min="12318" max="12318" width="13.125" style="743" customWidth="1"/>
    <col min="12319" max="12319" width="20.625" style="743" customWidth="1"/>
    <col min="12320" max="12320" width="23.375" style="743" customWidth="1"/>
    <col min="12321" max="12321" width="14.125" style="743" customWidth="1"/>
    <col min="12322" max="12322" width="18.875" style="743" customWidth="1"/>
    <col min="12323" max="12323" width="12" style="743" customWidth="1"/>
    <col min="12324" max="12324" width="14" style="743" customWidth="1"/>
    <col min="12325" max="12325" width="17" style="743" customWidth="1"/>
    <col min="12326" max="12326" width="20.375" style="743" customWidth="1"/>
    <col min="12327" max="12327" width="21" style="743" customWidth="1"/>
    <col min="12328" max="12328" width="20.25" style="743" customWidth="1"/>
    <col min="12329" max="12329" width="21.5" style="743" customWidth="1"/>
    <col min="12330" max="12330" width="24.125" style="743" customWidth="1"/>
    <col min="12331" max="12331" width="11.625" style="743" customWidth="1"/>
    <col min="12332" max="12332" width="21.625" style="743" customWidth="1"/>
    <col min="12333" max="12333" width="17.25" style="743" customWidth="1"/>
    <col min="12334" max="12334" width="13.5" style="743" customWidth="1"/>
    <col min="12335" max="12335" width="12.875" style="743" customWidth="1"/>
    <col min="12336" max="12338" width="21.625" style="743" customWidth="1"/>
    <col min="12339" max="12339" width="19.375" style="743" customWidth="1"/>
    <col min="12340" max="12344" width="20.25" style="743" customWidth="1"/>
    <col min="12345" max="12345" width="23" style="743" customWidth="1"/>
    <col min="12346" max="12346" width="10" style="743" customWidth="1"/>
    <col min="12347" max="12544" width="9" style="743"/>
    <col min="12545" max="12545" width="22.25" style="743" customWidth="1"/>
    <col min="12546" max="12546" width="32.375" style="743" customWidth="1"/>
    <col min="12547" max="12547" width="21.75" style="743" customWidth="1"/>
    <col min="12548" max="12554" width="9" style="743"/>
    <col min="12555" max="12555" width="28.625" style="743" customWidth="1"/>
    <col min="12556" max="12556" width="16" style="743" customWidth="1"/>
    <col min="12557" max="12557" width="14.875" style="743" customWidth="1"/>
    <col min="12558" max="12558" width="11.625" style="743" customWidth="1"/>
    <col min="12559" max="12559" width="6.75" style="743" customWidth="1"/>
    <col min="12560" max="12560" width="4.5" style="743" customWidth="1"/>
    <col min="12561" max="12561" width="17.75" style="743" customWidth="1"/>
    <col min="12562" max="12562" width="15.75" style="743" customWidth="1"/>
    <col min="12563" max="12563" width="57.375" style="743" customWidth="1"/>
    <col min="12564" max="12564" width="18.25" style="743" customWidth="1"/>
    <col min="12565" max="12566" width="4.5" style="743" customWidth="1"/>
    <col min="12567" max="12567" width="25.625" style="743" customWidth="1"/>
    <col min="12568" max="12568" width="22.875" style="743" customWidth="1"/>
    <col min="12569" max="12569" width="43.5" style="743" customWidth="1"/>
    <col min="12570" max="12570" width="10.25" style="743" customWidth="1"/>
    <col min="12571" max="12571" width="6.375" style="743" customWidth="1"/>
    <col min="12572" max="12572" width="4.875" style="743" customWidth="1"/>
    <col min="12573" max="12573" width="26.5" style="743" customWidth="1"/>
    <col min="12574" max="12574" width="13.125" style="743" customWidth="1"/>
    <col min="12575" max="12575" width="20.625" style="743" customWidth="1"/>
    <col min="12576" max="12576" width="23.375" style="743" customWidth="1"/>
    <col min="12577" max="12577" width="14.125" style="743" customWidth="1"/>
    <col min="12578" max="12578" width="18.875" style="743" customWidth="1"/>
    <col min="12579" max="12579" width="12" style="743" customWidth="1"/>
    <col min="12580" max="12580" width="14" style="743" customWidth="1"/>
    <col min="12581" max="12581" width="17" style="743" customWidth="1"/>
    <col min="12582" max="12582" width="20.375" style="743" customWidth="1"/>
    <col min="12583" max="12583" width="21" style="743" customWidth="1"/>
    <col min="12584" max="12584" width="20.25" style="743" customWidth="1"/>
    <col min="12585" max="12585" width="21.5" style="743" customWidth="1"/>
    <col min="12586" max="12586" width="24.125" style="743" customWidth="1"/>
    <col min="12587" max="12587" width="11.625" style="743" customWidth="1"/>
    <col min="12588" max="12588" width="21.625" style="743" customWidth="1"/>
    <col min="12589" max="12589" width="17.25" style="743" customWidth="1"/>
    <col min="12590" max="12590" width="13.5" style="743" customWidth="1"/>
    <col min="12591" max="12591" width="12.875" style="743" customWidth="1"/>
    <col min="12592" max="12594" width="21.625" style="743" customWidth="1"/>
    <col min="12595" max="12595" width="19.375" style="743" customWidth="1"/>
    <col min="12596" max="12600" width="20.25" style="743" customWidth="1"/>
    <col min="12601" max="12601" width="23" style="743" customWidth="1"/>
    <col min="12602" max="12602" width="10" style="743" customWidth="1"/>
    <col min="12603" max="12800" width="9" style="743"/>
    <col min="12801" max="12801" width="22.25" style="743" customWidth="1"/>
    <col min="12802" max="12802" width="32.375" style="743" customWidth="1"/>
    <col min="12803" max="12803" width="21.75" style="743" customWidth="1"/>
    <col min="12804" max="12810" width="9" style="743"/>
    <col min="12811" max="12811" width="28.625" style="743" customWidth="1"/>
    <col min="12812" max="12812" width="16" style="743" customWidth="1"/>
    <col min="12813" max="12813" width="14.875" style="743" customWidth="1"/>
    <col min="12814" max="12814" width="11.625" style="743" customWidth="1"/>
    <col min="12815" max="12815" width="6.75" style="743" customWidth="1"/>
    <col min="12816" max="12816" width="4.5" style="743" customWidth="1"/>
    <col min="12817" max="12817" width="17.75" style="743" customWidth="1"/>
    <col min="12818" max="12818" width="15.75" style="743" customWidth="1"/>
    <col min="12819" max="12819" width="57.375" style="743" customWidth="1"/>
    <col min="12820" max="12820" width="18.25" style="743" customWidth="1"/>
    <col min="12821" max="12822" width="4.5" style="743" customWidth="1"/>
    <col min="12823" max="12823" width="25.625" style="743" customWidth="1"/>
    <col min="12824" max="12824" width="22.875" style="743" customWidth="1"/>
    <col min="12825" max="12825" width="43.5" style="743" customWidth="1"/>
    <col min="12826" max="12826" width="10.25" style="743" customWidth="1"/>
    <col min="12827" max="12827" width="6.375" style="743" customWidth="1"/>
    <col min="12828" max="12828" width="4.875" style="743" customWidth="1"/>
    <col min="12829" max="12829" width="26.5" style="743" customWidth="1"/>
    <col min="12830" max="12830" width="13.125" style="743" customWidth="1"/>
    <col min="12831" max="12831" width="20.625" style="743" customWidth="1"/>
    <col min="12832" max="12832" width="23.375" style="743" customWidth="1"/>
    <col min="12833" max="12833" width="14.125" style="743" customWidth="1"/>
    <col min="12834" max="12834" width="18.875" style="743" customWidth="1"/>
    <col min="12835" max="12835" width="12" style="743" customWidth="1"/>
    <col min="12836" max="12836" width="14" style="743" customWidth="1"/>
    <col min="12837" max="12837" width="17" style="743" customWidth="1"/>
    <col min="12838" max="12838" width="20.375" style="743" customWidth="1"/>
    <col min="12839" max="12839" width="21" style="743" customWidth="1"/>
    <col min="12840" max="12840" width="20.25" style="743" customWidth="1"/>
    <col min="12841" max="12841" width="21.5" style="743" customWidth="1"/>
    <col min="12842" max="12842" width="24.125" style="743" customWidth="1"/>
    <col min="12843" max="12843" width="11.625" style="743" customWidth="1"/>
    <col min="12844" max="12844" width="21.625" style="743" customWidth="1"/>
    <col min="12845" max="12845" width="17.25" style="743" customWidth="1"/>
    <col min="12846" max="12846" width="13.5" style="743" customWidth="1"/>
    <col min="12847" max="12847" width="12.875" style="743" customWidth="1"/>
    <col min="12848" max="12850" width="21.625" style="743" customWidth="1"/>
    <col min="12851" max="12851" width="19.375" style="743" customWidth="1"/>
    <col min="12852" max="12856" width="20.25" style="743" customWidth="1"/>
    <col min="12857" max="12857" width="23" style="743" customWidth="1"/>
    <col min="12858" max="12858" width="10" style="743" customWidth="1"/>
    <col min="12859" max="13056" width="9" style="743"/>
    <col min="13057" max="13057" width="22.25" style="743" customWidth="1"/>
    <col min="13058" max="13058" width="32.375" style="743" customWidth="1"/>
    <col min="13059" max="13059" width="21.75" style="743" customWidth="1"/>
    <col min="13060" max="13066" width="9" style="743"/>
    <col min="13067" max="13067" width="28.625" style="743" customWidth="1"/>
    <col min="13068" max="13068" width="16" style="743" customWidth="1"/>
    <col min="13069" max="13069" width="14.875" style="743" customWidth="1"/>
    <col min="13070" max="13070" width="11.625" style="743" customWidth="1"/>
    <col min="13071" max="13071" width="6.75" style="743" customWidth="1"/>
    <col min="13072" max="13072" width="4.5" style="743" customWidth="1"/>
    <col min="13073" max="13073" width="17.75" style="743" customWidth="1"/>
    <col min="13074" max="13074" width="15.75" style="743" customWidth="1"/>
    <col min="13075" max="13075" width="57.375" style="743" customWidth="1"/>
    <col min="13076" max="13076" width="18.25" style="743" customWidth="1"/>
    <col min="13077" max="13078" width="4.5" style="743" customWidth="1"/>
    <col min="13079" max="13079" width="25.625" style="743" customWidth="1"/>
    <col min="13080" max="13080" width="22.875" style="743" customWidth="1"/>
    <col min="13081" max="13081" width="43.5" style="743" customWidth="1"/>
    <col min="13082" max="13082" width="10.25" style="743" customWidth="1"/>
    <col min="13083" max="13083" width="6.375" style="743" customWidth="1"/>
    <col min="13084" max="13084" width="4.875" style="743" customWidth="1"/>
    <col min="13085" max="13085" width="26.5" style="743" customWidth="1"/>
    <col min="13086" max="13086" width="13.125" style="743" customWidth="1"/>
    <col min="13087" max="13087" width="20.625" style="743" customWidth="1"/>
    <col min="13088" max="13088" width="23.375" style="743" customWidth="1"/>
    <col min="13089" max="13089" width="14.125" style="743" customWidth="1"/>
    <col min="13090" max="13090" width="18.875" style="743" customWidth="1"/>
    <col min="13091" max="13091" width="12" style="743" customWidth="1"/>
    <col min="13092" max="13092" width="14" style="743" customWidth="1"/>
    <col min="13093" max="13093" width="17" style="743" customWidth="1"/>
    <col min="13094" max="13094" width="20.375" style="743" customWidth="1"/>
    <col min="13095" max="13095" width="21" style="743" customWidth="1"/>
    <col min="13096" max="13096" width="20.25" style="743" customWidth="1"/>
    <col min="13097" max="13097" width="21.5" style="743" customWidth="1"/>
    <col min="13098" max="13098" width="24.125" style="743" customWidth="1"/>
    <col min="13099" max="13099" width="11.625" style="743" customWidth="1"/>
    <col min="13100" max="13100" width="21.625" style="743" customWidth="1"/>
    <col min="13101" max="13101" width="17.25" style="743" customWidth="1"/>
    <col min="13102" max="13102" width="13.5" style="743" customWidth="1"/>
    <col min="13103" max="13103" width="12.875" style="743" customWidth="1"/>
    <col min="13104" max="13106" width="21.625" style="743" customWidth="1"/>
    <col min="13107" max="13107" width="19.375" style="743" customWidth="1"/>
    <col min="13108" max="13112" width="20.25" style="743" customWidth="1"/>
    <col min="13113" max="13113" width="23" style="743" customWidth="1"/>
    <col min="13114" max="13114" width="10" style="743" customWidth="1"/>
    <col min="13115" max="13312" width="9" style="743"/>
    <col min="13313" max="13313" width="22.25" style="743" customWidth="1"/>
    <col min="13314" max="13314" width="32.375" style="743" customWidth="1"/>
    <col min="13315" max="13315" width="21.75" style="743" customWidth="1"/>
    <col min="13316" max="13322" width="9" style="743"/>
    <col min="13323" max="13323" width="28.625" style="743" customWidth="1"/>
    <col min="13324" max="13324" width="16" style="743" customWidth="1"/>
    <col min="13325" max="13325" width="14.875" style="743" customWidth="1"/>
    <col min="13326" max="13326" width="11.625" style="743" customWidth="1"/>
    <col min="13327" max="13327" width="6.75" style="743" customWidth="1"/>
    <col min="13328" max="13328" width="4.5" style="743" customWidth="1"/>
    <col min="13329" max="13329" width="17.75" style="743" customWidth="1"/>
    <col min="13330" max="13330" width="15.75" style="743" customWidth="1"/>
    <col min="13331" max="13331" width="57.375" style="743" customWidth="1"/>
    <col min="13332" max="13332" width="18.25" style="743" customWidth="1"/>
    <col min="13333" max="13334" width="4.5" style="743" customWidth="1"/>
    <col min="13335" max="13335" width="25.625" style="743" customWidth="1"/>
    <col min="13336" max="13336" width="22.875" style="743" customWidth="1"/>
    <col min="13337" max="13337" width="43.5" style="743" customWidth="1"/>
    <col min="13338" max="13338" width="10.25" style="743" customWidth="1"/>
    <col min="13339" max="13339" width="6.375" style="743" customWidth="1"/>
    <col min="13340" max="13340" width="4.875" style="743" customWidth="1"/>
    <col min="13341" max="13341" width="26.5" style="743" customWidth="1"/>
    <col min="13342" max="13342" width="13.125" style="743" customWidth="1"/>
    <col min="13343" max="13343" width="20.625" style="743" customWidth="1"/>
    <col min="13344" max="13344" width="23.375" style="743" customWidth="1"/>
    <col min="13345" max="13345" width="14.125" style="743" customWidth="1"/>
    <col min="13346" max="13346" width="18.875" style="743" customWidth="1"/>
    <col min="13347" max="13347" width="12" style="743" customWidth="1"/>
    <col min="13348" max="13348" width="14" style="743" customWidth="1"/>
    <col min="13349" max="13349" width="17" style="743" customWidth="1"/>
    <col min="13350" max="13350" width="20.375" style="743" customWidth="1"/>
    <col min="13351" max="13351" width="21" style="743" customWidth="1"/>
    <col min="13352" max="13352" width="20.25" style="743" customWidth="1"/>
    <col min="13353" max="13353" width="21.5" style="743" customWidth="1"/>
    <col min="13354" max="13354" width="24.125" style="743" customWidth="1"/>
    <col min="13355" max="13355" width="11.625" style="743" customWidth="1"/>
    <col min="13356" max="13356" width="21.625" style="743" customWidth="1"/>
    <col min="13357" max="13357" width="17.25" style="743" customWidth="1"/>
    <col min="13358" max="13358" width="13.5" style="743" customWidth="1"/>
    <col min="13359" max="13359" width="12.875" style="743" customWidth="1"/>
    <col min="13360" max="13362" width="21.625" style="743" customWidth="1"/>
    <col min="13363" max="13363" width="19.375" style="743" customWidth="1"/>
    <col min="13364" max="13368" width="20.25" style="743" customWidth="1"/>
    <col min="13369" max="13369" width="23" style="743" customWidth="1"/>
    <col min="13370" max="13370" width="10" style="743" customWidth="1"/>
    <col min="13371" max="13568" width="9" style="743"/>
    <col min="13569" max="13569" width="22.25" style="743" customWidth="1"/>
    <col min="13570" max="13570" width="32.375" style="743" customWidth="1"/>
    <col min="13571" max="13571" width="21.75" style="743" customWidth="1"/>
    <col min="13572" max="13578" width="9" style="743"/>
    <col min="13579" max="13579" width="28.625" style="743" customWidth="1"/>
    <col min="13580" max="13580" width="16" style="743" customWidth="1"/>
    <col min="13581" max="13581" width="14.875" style="743" customWidth="1"/>
    <col min="13582" max="13582" width="11.625" style="743" customWidth="1"/>
    <col min="13583" max="13583" width="6.75" style="743" customWidth="1"/>
    <col min="13584" max="13584" width="4.5" style="743" customWidth="1"/>
    <col min="13585" max="13585" width="17.75" style="743" customWidth="1"/>
    <col min="13586" max="13586" width="15.75" style="743" customWidth="1"/>
    <col min="13587" max="13587" width="57.375" style="743" customWidth="1"/>
    <col min="13588" max="13588" width="18.25" style="743" customWidth="1"/>
    <col min="13589" max="13590" width="4.5" style="743" customWidth="1"/>
    <col min="13591" max="13591" width="25.625" style="743" customWidth="1"/>
    <col min="13592" max="13592" width="22.875" style="743" customWidth="1"/>
    <col min="13593" max="13593" width="43.5" style="743" customWidth="1"/>
    <col min="13594" max="13594" width="10.25" style="743" customWidth="1"/>
    <col min="13595" max="13595" width="6.375" style="743" customWidth="1"/>
    <col min="13596" max="13596" width="4.875" style="743" customWidth="1"/>
    <col min="13597" max="13597" width="26.5" style="743" customWidth="1"/>
    <col min="13598" max="13598" width="13.125" style="743" customWidth="1"/>
    <col min="13599" max="13599" width="20.625" style="743" customWidth="1"/>
    <col min="13600" max="13600" width="23.375" style="743" customWidth="1"/>
    <col min="13601" max="13601" width="14.125" style="743" customWidth="1"/>
    <col min="13602" max="13602" width="18.875" style="743" customWidth="1"/>
    <col min="13603" max="13603" width="12" style="743" customWidth="1"/>
    <col min="13604" max="13604" width="14" style="743" customWidth="1"/>
    <col min="13605" max="13605" width="17" style="743" customWidth="1"/>
    <col min="13606" max="13606" width="20.375" style="743" customWidth="1"/>
    <col min="13607" max="13607" width="21" style="743" customWidth="1"/>
    <col min="13608" max="13608" width="20.25" style="743" customWidth="1"/>
    <col min="13609" max="13609" width="21.5" style="743" customWidth="1"/>
    <col min="13610" max="13610" width="24.125" style="743" customWidth="1"/>
    <col min="13611" max="13611" width="11.625" style="743" customWidth="1"/>
    <col min="13612" max="13612" width="21.625" style="743" customWidth="1"/>
    <col min="13613" max="13613" width="17.25" style="743" customWidth="1"/>
    <col min="13614" max="13614" width="13.5" style="743" customWidth="1"/>
    <col min="13615" max="13615" width="12.875" style="743" customWidth="1"/>
    <col min="13616" max="13618" width="21.625" style="743" customWidth="1"/>
    <col min="13619" max="13619" width="19.375" style="743" customWidth="1"/>
    <col min="13620" max="13624" width="20.25" style="743" customWidth="1"/>
    <col min="13625" max="13625" width="23" style="743" customWidth="1"/>
    <col min="13626" max="13626" width="10" style="743" customWidth="1"/>
    <col min="13627" max="13824" width="9" style="743"/>
    <col min="13825" max="13825" width="22.25" style="743" customWidth="1"/>
    <col min="13826" max="13826" width="32.375" style="743" customWidth="1"/>
    <col min="13827" max="13827" width="21.75" style="743" customWidth="1"/>
    <col min="13828" max="13834" width="9" style="743"/>
    <col min="13835" max="13835" width="28.625" style="743" customWidth="1"/>
    <col min="13836" max="13836" width="16" style="743" customWidth="1"/>
    <col min="13837" max="13837" width="14.875" style="743" customWidth="1"/>
    <col min="13838" max="13838" width="11.625" style="743" customWidth="1"/>
    <col min="13839" max="13839" width="6.75" style="743" customWidth="1"/>
    <col min="13840" max="13840" width="4.5" style="743" customWidth="1"/>
    <col min="13841" max="13841" width="17.75" style="743" customWidth="1"/>
    <col min="13842" max="13842" width="15.75" style="743" customWidth="1"/>
    <col min="13843" max="13843" width="57.375" style="743" customWidth="1"/>
    <col min="13844" max="13844" width="18.25" style="743" customWidth="1"/>
    <col min="13845" max="13846" width="4.5" style="743" customWidth="1"/>
    <col min="13847" max="13847" width="25.625" style="743" customWidth="1"/>
    <col min="13848" max="13848" width="22.875" style="743" customWidth="1"/>
    <col min="13849" max="13849" width="43.5" style="743" customWidth="1"/>
    <col min="13850" max="13850" width="10.25" style="743" customWidth="1"/>
    <col min="13851" max="13851" width="6.375" style="743" customWidth="1"/>
    <col min="13852" max="13852" width="4.875" style="743" customWidth="1"/>
    <col min="13853" max="13853" width="26.5" style="743" customWidth="1"/>
    <col min="13854" max="13854" width="13.125" style="743" customWidth="1"/>
    <col min="13855" max="13855" width="20.625" style="743" customWidth="1"/>
    <col min="13856" max="13856" width="23.375" style="743" customWidth="1"/>
    <col min="13857" max="13857" width="14.125" style="743" customWidth="1"/>
    <col min="13858" max="13858" width="18.875" style="743" customWidth="1"/>
    <col min="13859" max="13859" width="12" style="743" customWidth="1"/>
    <col min="13860" max="13860" width="14" style="743" customWidth="1"/>
    <col min="13861" max="13861" width="17" style="743" customWidth="1"/>
    <col min="13862" max="13862" width="20.375" style="743" customWidth="1"/>
    <col min="13863" max="13863" width="21" style="743" customWidth="1"/>
    <col min="13864" max="13864" width="20.25" style="743" customWidth="1"/>
    <col min="13865" max="13865" width="21.5" style="743" customWidth="1"/>
    <col min="13866" max="13866" width="24.125" style="743" customWidth="1"/>
    <col min="13867" max="13867" width="11.625" style="743" customWidth="1"/>
    <col min="13868" max="13868" width="21.625" style="743" customWidth="1"/>
    <col min="13869" max="13869" width="17.25" style="743" customWidth="1"/>
    <col min="13870" max="13870" width="13.5" style="743" customWidth="1"/>
    <col min="13871" max="13871" width="12.875" style="743" customWidth="1"/>
    <col min="13872" max="13874" width="21.625" style="743" customWidth="1"/>
    <col min="13875" max="13875" width="19.375" style="743" customWidth="1"/>
    <col min="13876" max="13880" width="20.25" style="743" customWidth="1"/>
    <col min="13881" max="13881" width="23" style="743" customWidth="1"/>
    <col min="13882" max="13882" width="10" style="743" customWidth="1"/>
    <col min="13883" max="14080" width="9" style="743"/>
    <col min="14081" max="14081" width="22.25" style="743" customWidth="1"/>
    <col min="14082" max="14082" width="32.375" style="743" customWidth="1"/>
    <col min="14083" max="14083" width="21.75" style="743" customWidth="1"/>
    <col min="14084" max="14090" width="9" style="743"/>
    <col min="14091" max="14091" width="28.625" style="743" customWidth="1"/>
    <col min="14092" max="14092" width="16" style="743" customWidth="1"/>
    <col min="14093" max="14093" width="14.875" style="743" customWidth="1"/>
    <col min="14094" max="14094" width="11.625" style="743" customWidth="1"/>
    <col min="14095" max="14095" width="6.75" style="743" customWidth="1"/>
    <col min="14096" max="14096" width="4.5" style="743" customWidth="1"/>
    <col min="14097" max="14097" width="17.75" style="743" customWidth="1"/>
    <col min="14098" max="14098" width="15.75" style="743" customWidth="1"/>
    <col min="14099" max="14099" width="57.375" style="743" customWidth="1"/>
    <col min="14100" max="14100" width="18.25" style="743" customWidth="1"/>
    <col min="14101" max="14102" width="4.5" style="743" customWidth="1"/>
    <col min="14103" max="14103" width="25.625" style="743" customWidth="1"/>
    <col min="14104" max="14104" width="22.875" style="743" customWidth="1"/>
    <col min="14105" max="14105" width="43.5" style="743" customWidth="1"/>
    <col min="14106" max="14106" width="10.25" style="743" customWidth="1"/>
    <col min="14107" max="14107" width="6.375" style="743" customWidth="1"/>
    <col min="14108" max="14108" width="4.875" style="743" customWidth="1"/>
    <col min="14109" max="14109" width="26.5" style="743" customWidth="1"/>
    <col min="14110" max="14110" width="13.125" style="743" customWidth="1"/>
    <col min="14111" max="14111" width="20.625" style="743" customWidth="1"/>
    <col min="14112" max="14112" width="23.375" style="743" customWidth="1"/>
    <col min="14113" max="14113" width="14.125" style="743" customWidth="1"/>
    <col min="14114" max="14114" width="18.875" style="743" customWidth="1"/>
    <col min="14115" max="14115" width="12" style="743" customWidth="1"/>
    <col min="14116" max="14116" width="14" style="743" customWidth="1"/>
    <col min="14117" max="14117" width="17" style="743" customWidth="1"/>
    <col min="14118" max="14118" width="20.375" style="743" customWidth="1"/>
    <col min="14119" max="14119" width="21" style="743" customWidth="1"/>
    <col min="14120" max="14120" width="20.25" style="743" customWidth="1"/>
    <col min="14121" max="14121" width="21.5" style="743" customWidth="1"/>
    <col min="14122" max="14122" width="24.125" style="743" customWidth="1"/>
    <col min="14123" max="14123" width="11.625" style="743" customWidth="1"/>
    <col min="14124" max="14124" width="21.625" style="743" customWidth="1"/>
    <col min="14125" max="14125" width="17.25" style="743" customWidth="1"/>
    <col min="14126" max="14126" width="13.5" style="743" customWidth="1"/>
    <col min="14127" max="14127" width="12.875" style="743" customWidth="1"/>
    <col min="14128" max="14130" width="21.625" style="743" customWidth="1"/>
    <col min="14131" max="14131" width="19.375" style="743" customWidth="1"/>
    <col min="14132" max="14136" width="20.25" style="743" customWidth="1"/>
    <col min="14137" max="14137" width="23" style="743" customWidth="1"/>
    <col min="14138" max="14138" width="10" style="743" customWidth="1"/>
    <col min="14139" max="14336" width="9" style="743"/>
    <col min="14337" max="14337" width="22.25" style="743" customWidth="1"/>
    <col min="14338" max="14338" width="32.375" style="743" customWidth="1"/>
    <col min="14339" max="14339" width="21.75" style="743" customWidth="1"/>
    <col min="14340" max="14346" width="9" style="743"/>
    <col min="14347" max="14347" width="28.625" style="743" customWidth="1"/>
    <col min="14348" max="14348" width="16" style="743" customWidth="1"/>
    <col min="14349" max="14349" width="14.875" style="743" customWidth="1"/>
    <col min="14350" max="14350" width="11.625" style="743" customWidth="1"/>
    <col min="14351" max="14351" width="6.75" style="743" customWidth="1"/>
    <col min="14352" max="14352" width="4.5" style="743" customWidth="1"/>
    <col min="14353" max="14353" width="17.75" style="743" customWidth="1"/>
    <col min="14354" max="14354" width="15.75" style="743" customWidth="1"/>
    <col min="14355" max="14355" width="57.375" style="743" customWidth="1"/>
    <col min="14356" max="14356" width="18.25" style="743" customWidth="1"/>
    <col min="14357" max="14358" width="4.5" style="743" customWidth="1"/>
    <col min="14359" max="14359" width="25.625" style="743" customWidth="1"/>
    <col min="14360" max="14360" width="22.875" style="743" customWidth="1"/>
    <col min="14361" max="14361" width="43.5" style="743" customWidth="1"/>
    <col min="14362" max="14362" width="10.25" style="743" customWidth="1"/>
    <col min="14363" max="14363" width="6.375" style="743" customWidth="1"/>
    <col min="14364" max="14364" width="4.875" style="743" customWidth="1"/>
    <col min="14365" max="14365" width="26.5" style="743" customWidth="1"/>
    <col min="14366" max="14366" width="13.125" style="743" customWidth="1"/>
    <col min="14367" max="14367" width="20.625" style="743" customWidth="1"/>
    <col min="14368" max="14368" width="23.375" style="743" customWidth="1"/>
    <col min="14369" max="14369" width="14.125" style="743" customWidth="1"/>
    <col min="14370" max="14370" width="18.875" style="743" customWidth="1"/>
    <col min="14371" max="14371" width="12" style="743" customWidth="1"/>
    <col min="14372" max="14372" width="14" style="743" customWidth="1"/>
    <col min="14373" max="14373" width="17" style="743" customWidth="1"/>
    <col min="14374" max="14374" width="20.375" style="743" customWidth="1"/>
    <col min="14375" max="14375" width="21" style="743" customWidth="1"/>
    <col min="14376" max="14376" width="20.25" style="743" customWidth="1"/>
    <col min="14377" max="14377" width="21.5" style="743" customWidth="1"/>
    <col min="14378" max="14378" width="24.125" style="743" customWidth="1"/>
    <col min="14379" max="14379" width="11.625" style="743" customWidth="1"/>
    <col min="14380" max="14380" width="21.625" style="743" customWidth="1"/>
    <col min="14381" max="14381" width="17.25" style="743" customWidth="1"/>
    <col min="14382" max="14382" width="13.5" style="743" customWidth="1"/>
    <col min="14383" max="14383" width="12.875" style="743" customWidth="1"/>
    <col min="14384" max="14386" width="21.625" style="743" customWidth="1"/>
    <col min="14387" max="14387" width="19.375" style="743" customWidth="1"/>
    <col min="14388" max="14392" width="20.25" style="743" customWidth="1"/>
    <col min="14393" max="14393" width="23" style="743" customWidth="1"/>
    <col min="14394" max="14394" width="10" style="743" customWidth="1"/>
    <col min="14395" max="14592" width="9" style="743"/>
    <col min="14593" max="14593" width="22.25" style="743" customWidth="1"/>
    <col min="14594" max="14594" width="32.375" style="743" customWidth="1"/>
    <col min="14595" max="14595" width="21.75" style="743" customWidth="1"/>
    <col min="14596" max="14602" width="9" style="743"/>
    <col min="14603" max="14603" width="28.625" style="743" customWidth="1"/>
    <col min="14604" max="14604" width="16" style="743" customWidth="1"/>
    <col min="14605" max="14605" width="14.875" style="743" customWidth="1"/>
    <col min="14606" max="14606" width="11.625" style="743" customWidth="1"/>
    <col min="14607" max="14607" width="6.75" style="743" customWidth="1"/>
    <col min="14608" max="14608" width="4.5" style="743" customWidth="1"/>
    <col min="14609" max="14609" width="17.75" style="743" customWidth="1"/>
    <col min="14610" max="14610" width="15.75" style="743" customWidth="1"/>
    <col min="14611" max="14611" width="57.375" style="743" customWidth="1"/>
    <col min="14612" max="14612" width="18.25" style="743" customWidth="1"/>
    <col min="14613" max="14614" width="4.5" style="743" customWidth="1"/>
    <col min="14615" max="14615" width="25.625" style="743" customWidth="1"/>
    <col min="14616" max="14616" width="22.875" style="743" customWidth="1"/>
    <col min="14617" max="14617" width="43.5" style="743" customWidth="1"/>
    <col min="14618" max="14618" width="10.25" style="743" customWidth="1"/>
    <col min="14619" max="14619" width="6.375" style="743" customWidth="1"/>
    <col min="14620" max="14620" width="4.875" style="743" customWidth="1"/>
    <col min="14621" max="14621" width="26.5" style="743" customWidth="1"/>
    <col min="14622" max="14622" width="13.125" style="743" customWidth="1"/>
    <col min="14623" max="14623" width="20.625" style="743" customWidth="1"/>
    <col min="14624" max="14624" width="23.375" style="743" customWidth="1"/>
    <col min="14625" max="14625" width="14.125" style="743" customWidth="1"/>
    <col min="14626" max="14626" width="18.875" style="743" customWidth="1"/>
    <col min="14627" max="14627" width="12" style="743" customWidth="1"/>
    <col min="14628" max="14628" width="14" style="743" customWidth="1"/>
    <col min="14629" max="14629" width="17" style="743" customWidth="1"/>
    <col min="14630" max="14630" width="20.375" style="743" customWidth="1"/>
    <col min="14631" max="14631" width="21" style="743" customWidth="1"/>
    <col min="14632" max="14632" width="20.25" style="743" customWidth="1"/>
    <col min="14633" max="14633" width="21.5" style="743" customWidth="1"/>
    <col min="14634" max="14634" width="24.125" style="743" customWidth="1"/>
    <col min="14635" max="14635" width="11.625" style="743" customWidth="1"/>
    <col min="14636" max="14636" width="21.625" style="743" customWidth="1"/>
    <col min="14637" max="14637" width="17.25" style="743" customWidth="1"/>
    <col min="14638" max="14638" width="13.5" style="743" customWidth="1"/>
    <col min="14639" max="14639" width="12.875" style="743" customWidth="1"/>
    <col min="14640" max="14642" width="21.625" style="743" customWidth="1"/>
    <col min="14643" max="14643" width="19.375" style="743" customWidth="1"/>
    <col min="14644" max="14648" width="20.25" style="743" customWidth="1"/>
    <col min="14649" max="14649" width="23" style="743" customWidth="1"/>
    <col min="14650" max="14650" width="10" style="743" customWidth="1"/>
    <col min="14651" max="14848" width="9" style="743"/>
    <col min="14849" max="14849" width="22.25" style="743" customWidth="1"/>
    <col min="14850" max="14850" width="32.375" style="743" customWidth="1"/>
    <col min="14851" max="14851" width="21.75" style="743" customWidth="1"/>
    <col min="14852" max="14858" width="9" style="743"/>
    <col min="14859" max="14859" width="28.625" style="743" customWidth="1"/>
    <col min="14860" max="14860" width="16" style="743" customWidth="1"/>
    <col min="14861" max="14861" width="14.875" style="743" customWidth="1"/>
    <col min="14862" max="14862" width="11.625" style="743" customWidth="1"/>
    <col min="14863" max="14863" width="6.75" style="743" customWidth="1"/>
    <col min="14864" max="14864" width="4.5" style="743" customWidth="1"/>
    <col min="14865" max="14865" width="17.75" style="743" customWidth="1"/>
    <col min="14866" max="14866" width="15.75" style="743" customWidth="1"/>
    <col min="14867" max="14867" width="57.375" style="743" customWidth="1"/>
    <col min="14868" max="14868" width="18.25" style="743" customWidth="1"/>
    <col min="14869" max="14870" width="4.5" style="743" customWidth="1"/>
    <col min="14871" max="14871" width="25.625" style="743" customWidth="1"/>
    <col min="14872" max="14872" width="22.875" style="743" customWidth="1"/>
    <col min="14873" max="14873" width="43.5" style="743" customWidth="1"/>
    <col min="14874" max="14874" width="10.25" style="743" customWidth="1"/>
    <col min="14875" max="14875" width="6.375" style="743" customWidth="1"/>
    <col min="14876" max="14876" width="4.875" style="743" customWidth="1"/>
    <col min="14877" max="14877" width="26.5" style="743" customWidth="1"/>
    <col min="14878" max="14878" width="13.125" style="743" customWidth="1"/>
    <col min="14879" max="14879" width="20.625" style="743" customWidth="1"/>
    <col min="14880" max="14880" width="23.375" style="743" customWidth="1"/>
    <col min="14881" max="14881" width="14.125" style="743" customWidth="1"/>
    <col min="14882" max="14882" width="18.875" style="743" customWidth="1"/>
    <col min="14883" max="14883" width="12" style="743" customWidth="1"/>
    <col min="14884" max="14884" width="14" style="743" customWidth="1"/>
    <col min="14885" max="14885" width="17" style="743" customWidth="1"/>
    <col min="14886" max="14886" width="20.375" style="743" customWidth="1"/>
    <col min="14887" max="14887" width="21" style="743" customWidth="1"/>
    <col min="14888" max="14888" width="20.25" style="743" customWidth="1"/>
    <col min="14889" max="14889" width="21.5" style="743" customWidth="1"/>
    <col min="14890" max="14890" width="24.125" style="743" customWidth="1"/>
    <col min="14891" max="14891" width="11.625" style="743" customWidth="1"/>
    <col min="14892" max="14892" width="21.625" style="743" customWidth="1"/>
    <col min="14893" max="14893" width="17.25" style="743" customWidth="1"/>
    <col min="14894" max="14894" width="13.5" style="743" customWidth="1"/>
    <col min="14895" max="14895" width="12.875" style="743" customWidth="1"/>
    <col min="14896" max="14898" width="21.625" style="743" customWidth="1"/>
    <col min="14899" max="14899" width="19.375" style="743" customWidth="1"/>
    <col min="14900" max="14904" width="20.25" style="743" customWidth="1"/>
    <col min="14905" max="14905" width="23" style="743" customWidth="1"/>
    <col min="14906" max="14906" width="10" style="743" customWidth="1"/>
    <col min="14907" max="15104" width="9" style="743"/>
    <col min="15105" max="15105" width="22.25" style="743" customWidth="1"/>
    <col min="15106" max="15106" width="32.375" style="743" customWidth="1"/>
    <col min="15107" max="15107" width="21.75" style="743" customWidth="1"/>
    <col min="15108" max="15114" width="9" style="743"/>
    <col min="15115" max="15115" width="28.625" style="743" customWidth="1"/>
    <col min="15116" max="15116" width="16" style="743" customWidth="1"/>
    <col min="15117" max="15117" width="14.875" style="743" customWidth="1"/>
    <col min="15118" max="15118" width="11.625" style="743" customWidth="1"/>
    <col min="15119" max="15119" width="6.75" style="743" customWidth="1"/>
    <col min="15120" max="15120" width="4.5" style="743" customWidth="1"/>
    <col min="15121" max="15121" width="17.75" style="743" customWidth="1"/>
    <col min="15122" max="15122" width="15.75" style="743" customWidth="1"/>
    <col min="15123" max="15123" width="57.375" style="743" customWidth="1"/>
    <col min="15124" max="15124" width="18.25" style="743" customWidth="1"/>
    <col min="15125" max="15126" width="4.5" style="743" customWidth="1"/>
    <col min="15127" max="15127" width="25.625" style="743" customWidth="1"/>
    <col min="15128" max="15128" width="22.875" style="743" customWidth="1"/>
    <col min="15129" max="15129" width="43.5" style="743" customWidth="1"/>
    <col min="15130" max="15130" width="10.25" style="743" customWidth="1"/>
    <col min="15131" max="15131" width="6.375" style="743" customWidth="1"/>
    <col min="15132" max="15132" width="4.875" style="743" customWidth="1"/>
    <col min="15133" max="15133" width="26.5" style="743" customWidth="1"/>
    <col min="15134" max="15134" width="13.125" style="743" customWidth="1"/>
    <col min="15135" max="15135" width="20.625" style="743" customWidth="1"/>
    <col min="15136" max="15136" width="23.375" style="743" customWidth="1"/>
    <col min="15137" max="15137" width="14.125" style="743" customWidth="1"/>
    <col min="15138" max="15138" width="18.875" style="743" customWidth="1"/>
    <col min="15139" max="15139" width="12" style="743" customWidth="1"/>
    <col min="15140" max="15140" width="14" style="743" customWidth="1"/>
    <col min="15141" max="15141" width="17" style="743" customWidth="1"/>
    <col min="15142" max="15142" width="20.375" style="743" customWidth="1"/>
    <col min="15143" max="15143" width="21" style="743" customWidth="1"/>
    <col min="15144" max="15144" width="20.25" style="743" customWidth="1"/>
    <col min="15145" max="15145" width="21.5" style="743" customWidth="1"/>
    <col min="15146" max="15146" width="24.125" style="743" customWidth="1"/>
    <col min="15147" max="15147" width="11.625" style="743" customWidth="1"/>
    <col min="15148" max="15148" width="21.625" style="743" customWidth="1"/>
    <col min="15149" max="15149" width="17.25" style="743" customWidth="1"/>
    <col min="15150" max="15150" width="13.5" style="743" customWidth="1"/>
    <col min="15151" max="15151" width="12.875" style="743" customWidth="1"/>
    <col min="15152" max="15154" width="21.625" style="743" customWidth="1"/>
    <col min="15155" max="15155" width="19.375" style="743" customWidth="1"/>
    <col min="15156" max="15160" width="20.25" style="743" customWidth="1"/>
    <col min="15161" max="15161" width="23" style="743" customWidth="1"/>
    <col min="15162" max="15162" width="10" style="743" customWidth="1"/>
    <col min="15163" max="15360" width="9" style="743"/>
    <col min="15361" max="15361" width="22.25" style="743" customWidth="1"/>
    <col min="15362" max="15362" width="32.375" style="743" customWidth="1"/>
    <col min="15363" max="15363" width="21.75" style="743" customWidth="1"/>
    <col min="15364" max="15370" width="9" style="743"/>
    <col min="15371" max="15371" width="28.625" style="743" customWidth="1"/>
    <col min="15372" max="15372" width="16" style="743" customWidth="1"/>
    <col min="15373" max="15373" width="14.875" style="743" customWidth="1"/>
    <col min="15374" max="15374" width="11.625" style="743" customWidth="1"/>
    <col min="15375" max="15375" width="6.75" style="743" customWidth="1"/>
    <col min="15376" max="15376" width="4.5" style="743" customWidth="1"/>
    <col min="15377" max="15377" width="17.75" style="743" customWidth="1"/>
    <col min="15378" max="15378" width="15.75" style="743" customWidth="1"/>
    <col min="15379" max="15379" width="57.375" style="743" customWidth="1"/>
    <col min="15380" max="15380" width="18.25" style="743" customWidth="1"/>
    <col min="15381" max="15382" width="4.5" style="743" customWidth="1"/>
    <col min="15383" max="15383" width="25.625" style="743" customWidth="1"/>
    <col min="15384" max="15384" width="22.875" style="743" customWidth="1"/>
    <col min="15385" max="15385" width="43.5" style="743" customWidth="1"/>
    <col min="15386" max="15386" width="10.25" style="743" customWidth="1"/>
    <col min="15387" max="15387" width="6.375" style="743" customWidth="1"/>
    <col min="15388" max="15388" width="4.875" style="743" customWidth="1"/>
    <col min="15389" max="15389" width="26.5" style="743" customWidth="1"/>
    <col min="15390" max="15390" width="13.125" style="743" customWidth="1"/>
    <col min="15391" max="15391" width="20.625" style="743" customWidth="1"/>
    <col min="15392" max="15392" width="23.375" style="743" customWidth="1"/>
    <col min="15393" max="15393" width="14.125" style="743" customWidth="1"/>
    <col min="15394" max="15394" width="18.875" style="743" customWidth="1"/>
    <col min="15395" max="15395" width="12" style="743" customWidth="1"/>
    <col min="15396" max="15396" width="14" style="743" customWidth="1"/>
    <col min="15397" max="15397" width="17" style="743" customWidth="1"/>
    <col min="15398" max="15398" width="20.375" style="743" customWidth="1"/>
    <col min="15399" max="15399" width="21" style="743" customWidth="1"/>
    <col min="15400" max="15400" width="20.25" style="743" customWidth="1"/>
    <col min="15401" max="15401" width="21.5" style="743" customWidth="1"/>
    <col min="15402" max="15402" width="24.125" style="743" customWidth="1"/>
    <col min="15403" max="15403" width="11.625" style="743" customWidth="1"/>
    <col min="15404" max="15404" width="21.625" style="743" customWidth="1"/>
    <col min="15405" max="15405" width="17.25" style="743" customWidth="1"/>
    <col min="15406" max="15406" width="13.5" style="743" customWidth="1"/>
    <col min="15407" max="15407" width="12.875" style="743" customWidth="1"/>
    <col min="15408" max="15410" width="21.625" style="743" customWidth="1"/>
    <col min="15411" max="15411" width="19.375" style="743" customWidth="1"/>
    <col min="15412" max="15416" width="20.25" style="743" customWidth="1"/>
    <col min="15417" max="15417" width="23" style="743" customWidth="1"/>
    <col min="15418" max="15418" width="10" style="743" customWidth="1"/>
    <col min="15419" max="15616" width="9" style="743"/>
    <col min="15617" max="15617" width="22.25" style="743" customWidth="1"/>
    <col min="15618" max="15618" width="32.375" style="743" customWidth="1"/>
    <col min="15619" max="15619" width="21.75" style="743" customWidth="1"/>
    <col min="15620" max="15626" width="9" style="743"/>
    <col min="15627" max="15627" width="28.625" style="743" customWidth="1"/>
    <col min="15628" max="15628" width="16" style="743" customWidth="1"/>
    <col min="15629" max="15629" width="14.875" style="743" customWidth="1"/>
    <col min="15630" max="15630" width="11.625" style="743" customWidth="1"/>
    <col min="15631" max="15631" width="6.75" style="743" customWidth="1"/>
    <col min="15632" max="15632" width="4.5" style="743" customWidth="1"/>
    <col min="15633" max="15633" width="17.75" style="743" customWidth="1"/>
    <col min="15634" max="15634" width="15.75" style="743" customWidth="1"/>
    <col min="15635" max="15635" width="57.375" style="743" customWidth="1"/>
    <col min="15636" max="15636" width="18.25" style="743" customWidth="1"/>
    <col min="15637" max="15638" width="4.5" style="743" customWidth="1"/>
    <col min="15639" max="15639" width="25.625" style="743" customWidth="1"/>
    <col min="15640" max="15640" width="22.875" style="743" customWidth="1"/>
    <col min="15641" max="15641" width="43.5" style="743" customWidth="1"/>
    <col min="15642" max="15642" width="10.25" style="743" customWidth="1"/>
    <col min="15643" max="15643" width="6.375" style="743" customWidth="1"/>
    <col min="15644" max="15644" width="4.875" style="743" customWidth="1"/>
    <col min="15645" max="15645" width="26.5" style="743" customWidth="1"/>
    <col min="15646" max="15646" width="13.125" style="743" customWidth="1"/>
    <col min="15647" max="15647" width="20.625" style="743" customWidth="1"/>
    <col min="15648" max="15648" width="23.375" style="743" customWidth="1"/>
    <col min="15649" max="15649" width="14.125" style="743" customWidth="1"/>
    <col min="15650" max="15650" width="18.875" style="743" customWidth="1"/>
    <col min="15651" max="15651" width="12" style="743" customWidth="1"/>
    <col min="15652" max="15652" width="14" style="743" customWidth="1"/>
    <col min="15653" max="15653" width="17" style="743" customWidth="1"/>
    <col min="15654" max="15654" width="20.375" style="743" customWidth="1"/>
    <col min="15655" max="15655" width="21" style="743" customWidth="1"/>
    <col min="15656" max="15656" width="20.25" style="743" customWidth="1"/>
    <col min="15657" max="15657" width="21.5" style="743" customWidth="1"/>
    <col min="15658" max="15658" width="24.125" style="743" customWidth="1"/>
    <col min="15659" max="15659" width="11.625" style="743" customWidth="1"/>
    <col min="15660" max="15660" width="21.625" style="743" customWidth="1"/>
    <col min="15661" max="15661" width="17.25" style="743" customWidth="1"/>
    <col min="15662" max="15662" width="13.5" style="743" customWidth="1"/>
    <col min="15663" max="15663" width="12.875" style="743" customWidth="1"/>
    <col min="15664" max="15666" width="21.625" style="743" customWidth="1"/>
    <col min="15667" max="15667" width="19.375" style="743" customWidth="1"/>
    <col min="15668" max="15672" width="20.25" style="743" customWidth="1"/>
    <col min="15673" max="15673" width="23" style="743" customWidth="1"/>
    <col min="15674" max="15674" width="10" style="743" customWidth="1"/>
    <col min="15675" max="15872" width="9" style="743"/>
    <col min="15873" max="15873" width="22.25" style="743" customWidth="1"/>
    <col min="15874" max="15874" width="32.375" style="743" customWidth="1"/>
    <col min="15875" max="15875" width="21.75" style="743" customWidth="1"/>
    <col min="15876" max="15882" width="9" style="743"/>
    <col min="15883" max="15883" width="28.625" style="743" customWidth="1"/>
    <col min="15884" max="15884" width="16" style="743" customWidth="1"/>
    <col min="15885" max="15885" width="14.875" style="743" customWidth="1"/>
    <col min="15886" max="15886" width="11.625" style="743" customWidth="1"/>
    <col min="15887" max="15887" width="6.75" style="743" customWidth="1"/>
    <col min="15888" max="15888" width="4.5" style="743" customWidth="1"/>
    <col min="15889" max="15889" width="17.75" style="743" customWidth="1"/>
    <col min="15890" max="15890" width="15.75" style="743" customWidth="1"/>
    <col min="15891" max="15891" width="57.375" style="743" customWidth="1"/>
    <col min="15892" max="15892" width="18.25" style="743" customWidth="1"/>
    <col min="15893" max="15894" width="4.5" style="743" customWidth="1"/>
    <col min="15895" max="15895" width="25.625" style="743" customWidth="1"/>
    <col min="15896" max="15896" width="22.875" style="743" customWidth="1"/>
    <col min="15897" max="15897" width="43.5" style="743" customWidth="1"/>
    <col min="15898" max="15898" width="10.25" style="743" customWidth="1"/>
    <col min="15899" max="15899" width="6.375" style="743" customWidth="1"/>
    <col min="15900" max="15900" width="4.875" style="743" customWidth="1"/>
    <col min="15901" max="15901" width="26.5" style="743" customWidth="1"/>
    <col min="15902" max="15902" width="13.125" style="743" customWidth="1"/>
    <col min="15903" max="15903" width="20.625" style="743" customWidth="1"/>
    <col min="15904" max="15904" width="23.375" style="743" customWidth="1"/>
    <col min="15905" max="15905" width="14.125" style="743" customWidth="1"/>
    <col min="15906" max="15906" width="18.875" style="743" customWidth="1"/>
    <col min="15907" max="15907" width="12" style="743" customWidth="1"/>
    <col min="15908" max="15908" width="14" style="743" customWidth="1"/>
    <col min="15909" max="15909" width="17" style="743" customWidth="1"/>
    <col min="15910" max="15910" width="20.375" style="743" customWidth="1"/>
    <col min="15911" max="15911" width="21" style="743" customWidth="1"/>
    <col min="15912" max="15912" width="20.25" style="743" customWidth="1"/>
    <col min="15913" max="15913" width="21.5" style="743" customWidth="1"/>
    <col min="15914" max="15914" width="24.125" style="743" customWidth="1"/>
    <col min="15915" max="15915" width="11.625" style="743" customWidth="1"/>
    <col min="15916" max="15916" width="21.625" style="743" customWidth="1"/>
    <col min="15917" max="15917" width="17.25" style="743" customWidth="1"/>
    <col min="15918" max="15918" width="13.5" style="743" customWidth="1"/>
    <col min="15919" max="15919" width="12.875" style="743" customWidth="1"/>
    <col min="15920" max="15922" width="21.625" style="743" customWidth="1"/>
    <col min="15923" max="15923" width="19.375" style="743" customWidth="1"/>
    <col min="15924" max="15928" width="20.25" style="743" customWidth="1"/>
    <col min="15929" max="15929" width="23" style="743" customWidth="1"/>
    <col min="15930" max="15930" width="10" style="743" customWidth="1"/>
    <col min="15931" max="16128" width="9" style="743"/>
    <col min="16129" max="16129" width="22.25" style="743" customWidth="1"/>
    <col min="16130" max="16130" width="32.375" style="743" customWidth="1"/>
    <col min="16131" max="16131" width="21.75" style="743" customWidth="1"/>
    <col min="16132" max="16138" width="9" style="743"/>
    <col min="16139" max="16139" width="28.625" style="743" customWidth="1"/>
    <col min="16140" max="16140" width="16" style="743" customWidth="1"/>
    <col min="16141" max="16141" width="14.875" style="743" customWidth="1"/>
    <col min="16142" max="16142" width="11.625" style="743" customWidth="1"/>
    <col min="16143" max="16143" width="6.75" style="743" customWidth="1"/>
    <col min="16144" max="16144" width="4.5" style="743" customWidth="1"/>
    <col min="16145" max="16145" width="17.75" style="743" customWidth="1"/>
    <col min="16146" max="16146" width="15.75" style="743" customWidth="1"/>
    <col min="16147" max="16147" width="57.375" style="743" customWidth="1"/>
    <col min="16148" max="16148" width="18.25" style="743" customWidth="1"/>
    <col min="16149" max="16150" width="4.5" style="743" customWidth="1"/>
    <col min="16151" max="16151" width="25.625" style="743" customWidth="1"/>
    <col min="16152" max="16152" width="22.875" style="743" customWidth="1"/>
    <col min="16153" max="16153" width="43.5" style="743" customWidth="1"/>
    <col min="16154" max="16154" width="10.25" style="743" customWidth="1"/>
    <col min="16155" max="16155" width="6.375" style="743" customWidth="1"/>
    <col min="16156" max="16156" width="4.875" style="743" customWidth="1"/>
    <col min="16157" max="16157" width="26.5" style="743" customWidth="1"/>
    <col min="16158" max="16158" width="13.125" style="743" customWidth="1"/>
    <col min="16159" max="16159" width="20.625" style="743" customWidth="1"/>
    <col min="16160" max="16160" width="23.375" style="743" customWidth="1"/>
    <col min="16161" max="16161" width="14.125" style="743" customWidth="1"/>
    <col min="16162" max="16162" width="18.875" style="743" customWidth="1"/>
    <col min="16163" max="16163" width="12" style="743" customWidth="1"/>
    <col min="16164" max="16164" width="14" style="743" customWidth="1"/>
    <col min="16165" max="16165" width="17" style="743" customWidth="1"/>
    <col min="16166" max="16166" width="20.375" style="743" customWidth="1"/>
    <col min="16167" max="16167" width="21" style="743" customWidth="1"/>
    <col min="16168" max="16168" width="20.25" style="743" customWidth="1"/>
    <col min="16169" max="16169" width="21.5" style="743" customWidth="1"/>
    <col min="16170" max="16170" width="24.125" style="743" customWidth="1"/>
    <col min="16171" max="16171" width="11.625" style="743" customWidth="1"/>
    <col min="16172" max="16172" width="21.625" style="743" customWidth="1"/>
    <col min="16173" max="16173" width="17.25" style="743" customWidth="1"/>
    <col min="16174" max="16174" width="13.5" style="743" customWidth="1"/>
    <col min="16175" max="16175" width="12.875" style="743" customWidth="1"/>
    <col min="16176" max="16178" width="21.625" style="743" customWidth="1"/>
    <col min="16179" max="16179" width="19.375" style="743" customWidth="1"/>
    <col min="16180" max="16184" width="20.25" style="743" customWidth="1"/>
    <col min="16185" max="16185" width="23" style="743" customWidth="1"/>
    <col min="16186" max="16186" width="10" style="743" customWidth="1"/>
    <col min="16187" max="16384" width="9" style="743"/>
  </cols>
  <sheetData>
    <row r="1" spans="1:3" s="403" customFormat="1" ht="13.5">
      <c r="A1" s="198" t="s">
        <v>16</v>
      </c>
      <c r="B1" s="199"/>
    </row>
    <row r="2" spans="1:3" s="403" customFormat="1" ht="13.5">
      <c r="A2" s="744" t="s">
        <v>17</v>
      </c>
      <c r="B2" s="745">
        <f>IF(C31=1,C29,C27)</f>
        <v>7008</v>
      </c>
    </row>
    <row r="3" spans="1:3" s="403" customFormat="1" ht="13.5">
      <c r="A3" s="744" t="s">
        <v>18</v>
      </c>
      <c r="B3" s="745">
        <f>IF(C32=1,C30,C28)</f>
        <v>7000</v>
      </c>
    </row>
    <row r="4" spans="1:3" s="403" customFormat="1" ht="13.5">
      <c r="A4" s="198" t="s">
        <v>19</v>
      </c>
      <c r="B4" s="746">
        <v>7008</v>
      </c>
      <c r="C4" s="405" t="str">
        <f>IF(OR(B4&gt;B2,B4&lt;4),I26,"")</f>
        <v/>
      </c>
    </row>
    <row r="5" spans="1:3" s="403" customFormat="1" ht="13.5">
      <c r="A5" s="198" t="s">
        <v>20</v>
      </c>
      <c r="B5" s="746">
        <v>7000</v>
      </c>
      <c r="C5" s="405" t="str">
        <f>IF(OR(B5&gt;B3,B5&lt;2),I27,"")</f>
        <v/>
      </c>
    </row>
    <row r="6" spans="1:3" s="403" customFormat="1" ht="13.5">
      <c r="A6" s="198" t="s">
        <v>21</v>
      </c>
      <c r="B6" s="584">
        <v>1</v>
      </c>
      <c r="C6" s="405"/>
    </row>
    <row r="7" spans="1:3" s="403" customFormat="1" ht="13.5">
      <c r="A7" s="198" t="s">
        <v>22</v>
      </c>
      <c r="B7" s="584">
        <v>1</v>
      </c>
      <c r="C7" s="405"/>
    </row>
    <row r="8" spans="1:3" s="403" customFormat="1" ht="17.100000000000001" customHeight="1">
      <c r="A8" s="744" t="s">
        <v>23</v>
      </c>
      <c r="B8" s="584">
        <v>1</v>
      </c>
    </row>
    <row r="9" spans="1:3" s="403" customFormat="1" ht="13.5">
      <c r="A9" s="744" t="s">
        <v>24</v>
      </c>
      <c r="B9" s="584">
        <v>1</v>
      </c>
    </row>
    <row r="10" spans="1:3" s="403" customFormat="1" ht="13.5">
      <c r="A10" s="198" t="s">
        <v>25</v>
      </c>
      <c r="B10" s="746">
        <v>40000</v>
      </c>
    </row>
    <row r="11" spans="1:3" s="403" customFormat="1" ht="13.5">
      <c r="A11" s="198" t="s">
        <v>26</v>
      </c>
      <c r="B11" s="746">
        <v>8</v>
      </c>
    </row>
    <row r="12" spans="1:3" s="403" customFormat="1" ht="13.5">
      <c r="A12" s="198" t="s">
        <v>27</v>
      </c>
      <c r="B12" s="746">
        <v>10000</v>
      </c>
    </row>
    <row r="13" spans="1:3" s="403" customFormat="1" ht="13.5">
      <c r="A13" s="198" t="s">
        <v>28</v>
      </c>
      <c r="B13" s="746">
        <v>0</v>
      </c>
    </row>
    <row r="14" spans="1:3" s="403" customFormat="1" ht="13.5">
      <c r="A14" s="198" t="s">
        <v>29</v>
      </c>
      <c r="B14" s="746">
        <v>22</v>
      </c>
    </row>
    <row r="15" spans="1:3" s="403" customFormat="1" ht="13.5">
      <c r="A15" s="198" t="s">
        <v>30</v>
      </c>
      <c r="B15" s="746">
        <v>2</v>
      </c>
    </row>
    <row r="16" spans="1:3" s="403" customFormat="1" ht="13.5">
      <c r="A16" s="198" t="s">
        <v>31</v>
      </c>
      <c r="B16" s="747">
        <f>T62</f>
        <v>99</v>
      </c>
    </row>
    <row r="17" spans="1:9" s="403" customFormat="1" ht="13.5">
      <c r="A17" s="198" t="s">
        <v>32</v>
      </c>
      <c r="B17" s="746">
        <v>0</v>
      </c>
    </row>
    <row r="18" spans="1:9" s="403" customFormat="1" ht="13.5">
      <c r="A18" s="198" t="s">
        <v>33</v>
      </c>
      <c r="B18" s="747">
        <f>T60</f>
        <v>1616504</v>
      </c>
    </row>
    <row r="19" spans="1:9" s="403" customFormat="1" ht="13.5">
      <c r="A19" s="198" t="s">
        <v>34</v>
      </c>
      <c r="B19" s="746">
        <v>8164</v>
      </c>
    </row>
    <row r="20" spans="1:9" s="403" customFormat="1" ht="13.5">
      <c r="A20" s="748" t="s">
        <v>35</v>
      </c>
      <c r="B20" s="749">
        <v>0</v>
      </c>
    </row>
    <row r="21" spans="1:9" s="403" customFormat="1" ht="13.5">
      <c r="A21" s="198" t="s">
        <v>36</v>
      </c>
      <c r="B21" s="746">
        <v>0</v>
      </c>
    </row>
    <row r="22" spans="1:9" s="403" customFormat="1" ht="14.25">
      <c r="A22" s="750"/>
      <c r="B22" s="751"/>
    </row>
    <row r="23" spans="1:9" s="403" customFormat="1" ht="14.25">
      <c r="A23" s="750" t="s">
        <v>37</v>
      </c>
      <c r="B23" s="752">
        <f>N77</f>
        <v>24.721878862793574</v>
      </c>
      <c r="C23" s="405" t="str">
        <f>IF(I32,I28,"")</f>
        <v/>
      </c>
    </row>
    <row r="24" spans="1:9" s="403" customFormat="1" ht="18" customHeight="1"/>
    <row r="25" spans="1:9" s="403" customFormat="1" ht="13.5" hidden="1">
      <c r="I25" s="652" t="s">
        <v>38</v>
      </c>
    </row>
    <row r="26" spans="1:9" s="403" customFormat="1" ht="13.5" hidden="1">
      <c r="I26" t="s">
        <v>39</v>
      </c>
    </row>
    <row r="27" spans="1:9" s="403" customFormat="1" ht="13.5" hidden="1">
      <c r="A27" s="1299" t="s">
        <v>40</v>
      </c>
      <c r="B27" s="1300"/>
      <c r="C27" s="199">
        <v>3504</v>
      </c>
      <c r="I27" t="s">
        <v>41</v>
      </c>
    </row>
    <row r="28" spans="1:9" s="403" customFormat="1" ht="13.5" hidden="1">
      <c r="A28" s="1299" t="s">
        <v>42</v>
      </c>
      <c r="B28" s="1300"/>
      <c r="C28" s="199">
        <v>3500</v>
      </c>
      <c r="I28" t="s">
        <v>43</v>
      </c>
    </row>
    <row r="29" spans="1:9" s="403" customFormat="1" ht="13.5" hidden="1">
      <c r="A29" s="1299" t="s">
        <v>44</v>
      </c>
      <c r="B29" s="1300"/>
      <c r="C29" s="199">
        <v>7008</v>
      </c>
      <c r="I29" s="652"/>
    </row>
    <row r="30" spans="1:9" s="403" customFormat="1" ht="13.5" hidden="1">
      <c r="A30" s="1299" t="s">
        <v>45</v>
      </c>
      <c r="B30" s="1300"/>
      <c r="C30" s="199">
        <v>7000</v>
      </c>
      <c r="I30" s="652"/>
    </row>
    <row r="31" spans="1:9" s="403" customFormat="1" ht="13.5" hidden="1">
      <c r="A31" s="1299" t="s">
        <v>46</v>
      </c>
      <c r="B31" s="1300"/>
      <c r="C31" s="199">
        <f>IF(B6=1,B8,B6)</f>
        <v>1</v>
      </c>
      <c r="I31" s="652" t="s">
        <v>47</v>
      </c>
    </row>
    <row r="32" spans="1:9" s="403" customFormat="1" ht="13.5" hidden="1">
      <c r="A32" s="1299" t="s">
        <v>48</v>
      </c>
      <c r="B32" s="1300"/>
      <c r="C32" s="199">
        <f>IF(B7=1,B9,B7)</f>
        <v>1</v>
      </c>
      <c r="I32" s="753">
        <f>IF(OR(OR(B4&gt;B2,B4&lt;4),OR(B5&gt;B3,B5&lt;2)),1,0)</f>
        <v>0</v>
      </c>
    </row>
    <row r="33" spans="11:58" ht="30" hidden="1" customHeight="1"/>
    <row r="34" spans="11:58" ht="30" hidden="1" customHeight="1"/>
    <row r="35" spans="11:58" ht="30" hidden="1" customHeight="1"/>
    <row r="36" spans="11:58" ht="30" hidden="1" customHeight="1">
      <c r="K36" s="754" t="s">
        <v>49</v>
      </c>
      <c r="L36" s="754" t="s">
        <v>50</v>
      </c>
      <c r="M36" s="755" t="s">
        <v>51</v>
      </c>
      <c r="N36" s="756"/>
      <c r="O36" s="756"/>
      <c r="P36" s="756"/>
      <c r="Q36" s="1301" t="s">
        <v>52</v>
      </c>
      <c r="R36" s="1302"/>
      <c r="S36" s="1302"/>
      <c r="T36" s="1302"/>
      <c r="U36" s="1303"/>
      <c r="V36" s="808"/>
      <c r="W36" s="1301" t="s">
        <v>53</v>
      </c>
      <c r="X36" s="1302"/>
      <c r="Y36" s="1302"/>
      <c r="Z36" s="1302"/>
      <c r="AA36" s="1303"/>
      <c r="AB36" s="808"/>
      <c r="AC36" s="1304" t="s">
        <v>54</v>
      </c>
      <c r="AD36" s="1305"/>
      <c r="AE36" s="1305"/>
      <c r="AF36" s="1305"/>
      <c r="AG36" s="1305"/>
      <c r="AH36" s="1305"/>
      <c r="AI36" s="1305"/>
      <c r="AJ36" s="1305"/>
      <c r="AK36" s="1305"/>
      <c r="AL36" s="1305"/>
      <c r="AM36" s="1305"/>
      <c r="AN36" s="1305"/>
      <c r="AO36" s="1305"/>
      <c r="AP36" s="1305"/>
      <c r="AQ36" s="1305"/>
      <c r="AR36" s="1305"/>
      <c r="AS36" s="1305"/>
      <c r="AT36" s="1305"/>
      <c r="AU36" s="1305"/>
      <c r="AV36" s="1305"/>
      <c r="AW36" s="1305"/>
      <c r="AX36" s="1305"/>
      <c r="AY36" s="1305"/>
      <c r="AZ36" s="1305"/>
      <c r="BA36" s="1305"/>
      <c r="BB36" s="1305"/>
      <c r="BC36" s="1305"/>
      <c r="BD36" s="1305"/>
      <c r="BE36" s="1305"/>
      <c r="BF36" s="1305"/>
    </row>
    <row r="37" spans="11:58" ht="30" hidden="1" customHeight="1">
      <c r="K37" s="754" t="s">
        <v>55</v>
      </c>
      <c r="L37" s="754" t="s">
        <v>56</v>
      </c>
      <c r="M37" s="755" t="s">
        <v>57</v>
      </c>
      <c r="N37" s="756"/>
      <c r="O37" s="756"/>
      <c r="P37" s="756"/>
      <c r="Q37" s="1306" t="s">
        <v>58</v>
      </c>
      <c r="R37" s="1307"/>
      <c r="S37" s="1307"/>
      <c r="T37" s="1307"/>
      <c r="U37" s="1308"/>
      <c r="V37" s="808"/>
      <c r="W37" s="1306" t="s">
        <v>59</v>
      </c>
      <c r="X37" s="1307"/>
      <c r="Y37" s="1307"/>
      <c r="Z37" s="1307"/>
      <c r="AA37" s="1308"/>
      <c r="AB37" s="808"/>
      <c r="AC37" s="844" t="s">
        <v>60</v>
      </c>
      <c r="AD37" s="845" t="s">
        <v>61</v>
      </c>
      <c r="AE37" s="845" t="s">
        <v>62</v>
      </c>
      <c r="AF37" s="845" t="s">
        <v>63</v>
      </c>
      <c r="AG37" s="845" t="s">
        <v>64</v>
      </c>
      <c r="AH37" s="845" t="s">
        <v>65</v>
      </c>
      <c r="AI37" s="845" t="s">
        <v>66</v>
      </c>
      <c r="AJ37" s="845" t="s">
        <v>67</v>
      </c>
      <c r="AK37" s="845" t="s">
        <v>68</v>
      </c>
      <c r="AL37" s="845" t="s">
        <v>69</v>
      </c>
      <c r="AM37" s="845" t="s">
        <v>70</v>
      </c>
      <c r="AN37" s="845" t="s">
        <v>71</v>
      </c>
      <c r="AO37" s="845" t="s">
        <v>72</v>
      </c>
      <c r="AP37" s="845" t="s">
        <v>73</v>
      </c>
      <c r="AQ37" s="845" t="s">
        <v>74</v>
      </c>
      <c r="AR37" s="845" t="s">
        <v>75</v>
      </c>
      <c r="AS37" s="845" t="s">
        <v>76</v>
      </c>
      <c r="AT37" s="845" t="s">
        <v>77</v>
      </c>
      <c r="AU37" s="845" t="s">
        <v>78</v>
      </c>
      <c r="AV37" s="845" t="s">
        <v>79</v>
      </c>
      <c r="AW37" s="875" t="s">
        <v>80</v>
      </c>
      <c r="AX37" s="845" t="s">
        <v>81</v>
      </c>
      <c r="AY37" s="845" t="s">
        <v>82</v>
      </c>
      <c r="AZ37" s="845" t="s">
        <v>83</v>
      </c>
      <c r="BA37" s="845" t="s">
        <v>84</v>
      </c>
      <c r="BB37" s="845" t="s">
        <v>85</v>
      </c>
      <c r="BC37" s="876" t="s">
        <v>86</v>
      </c>
      <c r="BD37" s="876" t="s">
        <v>87</v>
      </c>
      <c r="BE37" s="876" t="s">
        <v>88</v>
      </c>
      <c r="BF37" s="876" t="s">
        <v>89</v>
      </c>
    </row>
    <row r="38" spans="11:58" ht="30" hidden="1" customHeight="1">
      <c r="K38" s="1301" t="s">
        <v>90</v>
      </c>
      <c r="L38" s="1302"/>
      <c r="M38" s="1302"/>
      <c r="N38" s="1302"/>
      <c r="O38" s="1303"/>
      <c r="P38" s="756"/>
      <c r="Q38" s="809" t="s">
        <v>91</v>
      </c>
      <c r="R38" s="810" t="s">
        <v>92</v>
      </c>
      <c r="S38" s="810" t="s">
        <v>93</v>
      </c>
      <c r="T38" s="810" t="s">
        <v>94</v>
      </c>
      <c r="U38" s="811" t="s">
        <v>95</v>
      </c>
      <c r="V38" s="808"/>
      <c r="W38" s="757" t="s">
        <v>91</v>
      </c>
      <c r="X38" s="758" t="s">
        <v>92</v>
      </c>
      <c r="Y38" s="758" t="s">
        <v>93</v>
      </c>
      <c r="Z38" s="758" t="s">
        <v>96</v>
      </c>
      <c r="AA38" s="846" t="s">
        <v>95</v>
      </c>
      <c r="AB38" s="808"/>
      <c r="AC38" s="847" t="s">
        <v>97</v>
      </c>
      <c r="AD38" s="817" t="s">
        <v>98</v>
      </c>
      <c r="AE38" s="817">
        <v>80</v>
      </c>
      <c r="AF38" s="848">
        <v>80</v>
      </c>
      <c r="AG38" s="862">
        <v>1</v>
      </c>
      <c r="AH38" s="848">
        <v>16</v>
      </c>
      <c r="AI38" s="862">
        <v>128</v>
      </c>
      <c r="AJ38" s="862">
        <v>4</v>
      </c>
      <c r="AK38" s="817">
        <v>5376</v>
      </c>
      <c r="AL38" s="817">
        <v>1</v>
      </c>
      <c r="AM38" s="817">
        <v>5376</v>
      </c>
      <c r="AN38" s="817">
        <v>5184</v>
      </c>
      <c r="AO38" s="848">
        <f>ROUNDUP((6*AP38/$Z$39)*1000,0)+ROUNDUP(3*$T$39,0)</f>
        <v>23400</v>
      </c>
      <c r="AP38" s="871">
        <f>IF(N41=8,124,248)</f>
        <v>124</v>
      </c>
      <c r="AQ38" s="871">
        <v>3</v>
      </c>
      <c r="AR38" s="871">
        <v>3</v>
      </c>
      <c r="AS38" s="871">
        <v>636</v>
      </c>
      <c r="AT38" s="871">
        <v>6</v>
      </c>
      <c r="AU38" s="871">
        <v>14</v>
      </c>
      <c r="AV38" s="817">
        <v>1</v>
      </c>
      <c r="AW38" s="877" t="s">
        <v>99</v>
      </c>
      <c r="AX38" s="848">
        <v>20000</v>
      </c>
      <c r="AY38" s="871">
        <v>5120</v>
      </c>
      <c r="AZ38" s="871">
        <v>5120</v>
      </c>
      <c r="BA38" s="817">
        <v>42</v>
      </c>
      <c r="BB38" s="817">
        <v>1</v>
      </c>
      <c r="BC38" s="878">
        <v>156.25</v>
      </c>
      <c r="BD38" s="878">
        <v>1</v>
      </c>
      <c r="BE38" s="878" t="s">
        <v>100</v>
      </c>
      <c r="BF38" s="878">
        <v>0</v>
      </c>
    </row>
    <row r="39" spans="11:58" ht="30" hidden="1" customHeight="1">
      <c r="K39" s="757" t="s">
        <v>91</v>
      </c>
      <c r="L39" s="758" t="s">
        <v>92</v>
      </c>
      <c r="M39" s="758" t="s">
        <v>101</v>
      </c>
      <c r="N39" s="758" t="s">
        <v>102</v>
      </c>
      <c r="O39" s="759" t="s">
        <v>95</v>
      </c>
      <c r="P39" s="756"/>
      <c r="Q39" s="767" t="s">
        <v>103</v>
      </c>
      <c r="R39" s="768" t="s">
        <v>104</v>
      </c>
      <c r="S39" s="804" t="s">
        <v>105</v>
      </c>
      <c r="T39" s="812">
        <f>ROUNDUP(1000*Z42*Z40/Z39,0)</f>
        <v>4700</v>
      </c>
      <c r="U39" s="767" t="s">
        <v>106</v>
      </c>
      <c r="V39" s="808"/>
      <c r="W39" s="767" t="s">
        <v>107</v>
      </c>
      <c r="X39" s="768" t="s">
        <v>108</v>
      </c>
      <c r="Y39" s="768" t="s">
        <v>109</v>
      </c>
      <c r="Z39" s="849">
        <f>VLOOKUP($M$36,$AC$38:$BE$55,4,FALSE)</f>
        <v>80</v>
      </c>
      <c r="AA39" s="850" t="s">
        <v>110</v>
      </c>
      <c r="AB39" s="808"/>
      <c r="AC39" s="847" t="s">
        <v>111</v>
      </c>
      <c r="AD39" s="817" t="s">
        <v>112</v>
      </c>
      <c r="AE39" s="817">
        <v>80</v>
      </c>
      <c r="AF39" s="817">
        <v>80</v>
      </c>
      <c r="AG39" s="862">
        <v>1</v>
      </c>
      <c r="AH39" s="862">
        <v>28</v>
      </c>
      <c r="AI39" s="862">
        <v>88</v>
      </c>
      <c r="AJ39" s="862">
        <v>4</v>
      </c>
      <c r="AK39" s="817">
        <v>9520</v>
      </c>
      <c r="AL39" s="817">
        <v>1</v>
      </c>
      <c r="AM39" s="817">
        <v>9520</v>
      </c>
      <c r="AN39" s="817">
        <v>7056</v>
      </c>
      <c r="AO39" s="848">
        <f>ROUNDUP((7*AP39/$Z$39)*1000,0)+ROUNDUP(12*$T$39,0)</f>
        <v>78100</v>
      </c>
      <c r="AP39" s="871">
        <f>IF(N41=8,248,496)</f>
        <v>248</v>
      </c>
      <c r="AQ39" s="871">
        <v>2</v>
      </c>
      <c r="AR39" s="872">
        <v>3</v>
      </c>
      <c r="AS39" s="871">
        <v>1068</v>
      </c>
      <c r="AT39" s="871">
        <v>6</v>
      </c>
      <c r="AU39" s="872">
        <v>14</v>
      </c>
      <c r="AV39" s="848">
        <v>1</v>
      </c>
      <c r="AW39" s="877" t="s">
        <v>99</v>
      </c>
      <c r="AX39" s="848">
        <v>50000</v>
      </c>
      <c r="AY39" s="871">
        <v>9344</v>
      </c>
      <c r="AZ39" s="871">
        <v>7000</v>
      </c>
      <c r="BA39" s="848">
        <v>17</v>
      </c>
      <c r="BB39" s="817">
        <v>1</v>
      </c>
      <c r="BC39" s="879">
        <v>156.25</v>
      </c>
      <c r="BD39" s="879">
        <v>1</v>
      </c>
      <c r="BE39" s="879" t="s">
        <v>57</v>
      </c>
      <c r="BF39" s="879">
        <v>0</v>
      </c>
    </row>
    <row r="40" spans="11:58" ht="115.5" hidden="1" customHeight="1">
      <c r="K40" s="1306" t="s">
        <v>113</v>
      </c>
      <c r="L40" s="1307"/>
      <c r="M40" s="1307"/>
      <c r="N40" s="1307"/>
      <c r="O40" s="1308"/>
      <c r="P40" s="756"/>
      <c r="Q40" s="813" t="s">
        <v>114</v>
      </c>
      <c r="R40" s="783" t="s">
        <v>115</v>
      </c>
      <c r="S40" s="776" t="s">
        <v>116</v>
      </c>
      <c r="T40" s="814">
        <f>IF(N49=0,MAX(T43,T44,T45,T46)+T51,IF(N43="TriggerWidth",MAX(T43,T45,T64),IF(N50=0,MAX(T43,T44,T45)+T51,MAX(T43,T44,T45,T46)+T51)))</f>
        <v>40450</v>
      </c>
      <c r="U40" s="813" t="s">
        <v>117</v>
      </c>
      <c r="W40" s="813" t="s">
        <v>118</v>
      </c>
      <c r="X40" s="783" t="s">
        <v>118</v>
      </c>
      <c r="Y40" s="783" t="s">
        <v>109</v>
      </c>
      <c r="Z40" s="851">
        <f>VLOOKUP($M$36,$AC$38:$BE$55,14,FALSE)</f>
        <v>188</v>
      </c>
      <c r="AA40" s="820" t="s">
        <v>119</v>
      </c>
      <c r="AC40" s="847" t="s">
        <v>51</v>
      </c>
      <c r="AD40" s="817" t="s">
        <v>120</v>
      </c>
      <c r="AE40" s="817">
        <v>80</v>
      </c>
      <c r="AF40" s="817">
        <v>80</v>
      </c>
      <c r="AG40" s="862">
        <v>1</v>
      </c>
      <c r="AH40" s="862">
        <v>28</v>
      </c>
      <c r="AI40" s="862">
        <v>1256</v>
      </c>
      <c r="AJ40" s="862">
        <v>4</v>
      </c>
      <c r="AK40" s="817">
        <v>9520</v>
      </c>
      <c r="AL40" s="817">
        <v>1</v>
      </c>
      <c r="AM40" s="817">
        <v>9520</v>
      </c>
      <c r="AN40" s="817">
        <v>7056</v>
      </c>
      <c r="AO40" s="848">
        <f>ROUNDUP((7*AP40/$Z$39)*1000,0)+ROUNDUP(12*$T$39,0)</f>
        <v>72850</v>
      </c>
      <c r="AP40" s="871">
        <f>IF(N41=8,188,376)</f>
        <v>188</v>
      </c>
      <c r="AQ40" s="871">
        <v>2</v>
      </c>
      <c r="AR40" s="872">
        <v>3</v>
      </c>
      <c r="AS40" s="871">
        <v>1068</v>
      </c>
      <c r="AT40" s="871">
        <v>6</v>
      </c>
      <c r="AU40" s="872">
        <v>14</v>
      </c>
      <c r="AV40" s="848">
        <v>1</v>
      </c>
      <c r="AW40" s="877" t="s">
        <v>99</v>
      </c>
      <c r="AX40" s="848">
        <v>40000</v>
      </c>
      <c r="AY40" s="871">
        <v>7008</v>
      </c>
      <c r="AZ40" s="871">
        <v>7000</v>
      </c>
      <c r="BA40" s="848">
        <v>22</v>
      </c>
      <c r="BB40" s="817">
        <v>1</v>
      </c>
      <c r="BC40" s="879">
        <v>156.25</v>
      </c>
      <c r="BD40" s="879">
        <v>1</v>
      </c>
      <c r="BE40" s="879" t="s">
        <v>57</v>
      </c>
      <c r="BF40" s="882">
        <v>0</v>
      </c>
    </row>
    <row r="41" spans="11:58" ht="30" hidden="1" customHeight="1">
      <c r="K41" s="763" t="s">
        <v>121</v>
      </c>
      <c r="L41" s="764" t="s">
        <v>113</v>
      </c>
      <c r="M41" s="764">
        <v>8</v>
      </c>
      <c r="N41" s="765">
        <f>B11</f>
        <v>8</v>
      </c>
      <c r="O41" s="766" t="s">
        <v>122</v>
      </c>
      <c r="P41" s="756"/>
      <c r="Q41" s="772" t="s">
        <v>123</v>
      </c>
      <c r="R41" s="773" t="s">
        <v>58</v>
      </c>
      <c r="S41" s="781" t="s">
        <v>124</v>
      </c>
      <c r="T41" s="815">
        <f>1000000/T40</f>
        <v>24.721878862793574</v>
      </c>
      <c r="U41" s="772" t="s">
        <v>125</v>
      </c>
      <c r="W41" s="813" t="s">
        <v>126</v>
      </c>
      <c r="X41" s="783" t="s">
        <v>127</v>
      </c>
      <c r="Y41" s="783" t="s">
        <v>109</v>
      </c>
      <c r="Z41" s="851">
        <f>VLOOKUP($M$36,$AC$38:$BE$55,13,FALSE)</f>
        <v>72850</v>
      </c>
      <c r="AA41" s="820" t="s">
        <v>106</v>
      </c>
      <c r="AC41" s="852"/>
      <c r="AD41" s="853"/>
      <c r="AE41" s="853"/>
      <c r="AF41" s="853"/>
      <c r="AG41" s="863"/>
      <c r="AH41" s="863"/>
      <c r="AI41" s="863"/>
      <c r="AJ41" s="863"/>
      <c r="AK41" s="853"/>
      <c r="AL41" s="853"/>
      <c r="AM41" s="853"/>
      <c r="AN41" s="853"/>
      <c r="AO41" s="873"/>
      <c r="AP41" s="874"/>
      <c r="AQ41" s="874"/>
      <c r="AR41" s="874"/>
      <c r="AS41" s="874"/>
      <c r="AT41" s="874"/>
      <c r="AU41" s="874"/>
      <c r="AV41" s="853"/>
      <c r="AW41" s="880"/>
      <c r="AX41" s="853"/>
      <c r="AY41" s="874"/>
      <c r="AZ41" s="874"/>
      <c r="BA41" s="853"/>
      <c r="BB41" s="853"/>
      <c r="BC41" s="881"/>
      <c r="BD41" s="881"/>
      <c r="BE41" s="883"/>
      <c r="BF41" s="884"/>
    </row>
    <row r="42" spans="11:58" ht="30" hidden="1" customHeight="1">
      <c r="K42" s="1306" t="s">
        <v>128</v>
      </c>
      <c r="L42" s="1307"/>
      <c r="M42" s="1307"/>
      <c r="N42" s="1307"/>
      <c r="O42" s="1308"/>
      <c r="P42" s="756"/>
      <c r="Q42" s="1306" t="s">
        <v>129</v>
      </c>
      <c r="R42" s="1307"/>
      <c r="S42" s="1307"/>
      <c r="T42" s="1307"/>
      <c r="U42" s="1308"/>
      <c r="W42" s="813" t="s">
        <v>130</v>
      </c>
      <c r="X42" s="783" t="s">
        <v>131</v>
      </c>
      <c r="Y42" s="783" t="s">
        <v>109</v>
      </c>
      <c r="Z42" s="851">
        <f>VLOOKUP($M$36,$AC$38:$BE$55,15,FALSE)</f>
        <v>2</v>
      </c>
      <c r="AA42" s="820" t="s">
        <v>122</v>
      </c>
      <c r="AC42" s="808"/>
      <c r="AD42" s="808"/>
      <c r="AE42" s="808"/>
      <c r="AF42" s="808"/>
      <c r="AG42" s="808"/>
      <c r="AH42" s="808"/>
      <c r="AI42" s="808"/>
      <c r="AJ42" s="808"/>
    </row>
    <row r="43" spans="11:58" ht="30" hidden="1" customHeight="1">
      <c r="K43" s="767" t="s">
        <v>132</v>
      </c>
      <c r="L43" s="768" t="s">
        <v>133</v>
      </c>
      <c r="M43" s="768" t="s">
        <v>134</v>
      </c>
      <c r="N43" s="769" t="s">
        <v>134</v>
      </c>
      <c r="O43" s="770"/>
      <c r="P43" s="756"/>
      <c r="Q43" s="767" t="s">
        <v>135</v>
      </c>
      <c r="R43" s="768" t="s">
        <v>136</v>
      </c>
      <c r="S43" s="804" t="s">
        <v>137</v>
      </c>
      <c r="T43" s="812">
        <f>ROUNDUP(((N57*N75+Z43+Z48+Z50)*T39+Z41)/1000,0)</f>
        <v>33049</v>
      </c>
      <c r="U43" s="816" t="s">
        <v>117</v>
      </c>
      <c r="W43" s="813" t="s">
        <v>138</v>
      </c>
      <c r="X43" s="783" t="s">
        <v>139</v>
      </c>
      <c r="Y43" s="783" t="s">
        <v>109</v>
      </c>
      <c r="Z43" s="851">
        <f>VLOOKUP($M$36,$AC$38:$BE$55,19,FALSE)</f>
        <v>14</v>
      </c>
      <c r="AA43" s="820" t="s">
        <v>140</v>
      </c>
      <c r="AC43" s="808"/>
      <c r="AD43" s="808"/>
      <c r="AE43" s="808"/>
      <c r="AF43" s="808"/>
      <c r="AG43" s="808"/>
      <c r="AH43" s="808"/>
      <c r="AI43" s="808"/>
      <c r="AJ43" s="808"/>
    </row>
    <row r="44" spans="11:58" ht="30" hidden="1" customHeight="1">
      <c r="K44" s="767" t="s">
        <v>141</v>
      </c>
      <c r="L44" s="768" t="s">
        <v>128</v>
      </c>
      <c r="M44" s="768">
        <f>VLOOKUP($M$36,$AC$38:$BE$55,22,FALSE)</f>
        <v>40000</v>
      </c>
      <c r="N44" s="771">
        <f>B10</f>
        <v>40000</v>
      </c>
      <c r="O44" s="770" t="s">
        <v>117</v>
      </c>
      <c r="P44" s="756"/>
      <c r="Q44" s="813" t="s">
        <v>142</v>
      </c>
      <c r="R44" s="783" t="s">
        <v>143</v>
      </c>
      <c r="S44" s="817" t="s">
        <v>144</v>
      </c>
      <c r="T44" s="818">
        <f>ROUNDUP(N44-Z45/Z39+Z44*T39/1000+N45+Z41/1000,0)+IF(N61=1,0,Z49)</f>
        <v>40074</v>
      </c>
      <c r="U44" s="819" t="s">
        <v>117</v>
      </c>
      <c r="W44" s="813" t="s">
        <v>145</v>
      </c>
      <c r="X44" s="783" t="s">
        <v>146</v>
      </c>
      <c r="Y44" s="783" t="s">
        <v>109</v>
      </c>
      <c r="Z44" s="851">
        <f>VLOOKUP($M$36,$AC$38:$BE$55,16,FALSE)</f>
        <v>3</v>
      </c>
      <c r="AA44" s="820" t="s">
        <v>140</v>
      </c>
      <c r="AC44" s="808"/>
      <c r="AD44" s="808"/>
      <c r="AE44" s="808"/>
      <c r="AF44" s="808"/>
      <c r="AG44" s="808"/>
      <c r="AH44" s="808"/>
      <c r="AI44" s="808"/>
      <c r="AJ44" s="808"/>
    </row>
    <row r="45" spans="11:58" ht="30" hidden="1" customHeight="1">
      <c r="K45" s="772" t="s">
        <v>147</v>
      </c>
      <c r="L45" s="773" t="s">
        <v>148</v>
      </c>
      <c r="M45" s="768">
        <v>0</v>
      </c>
      <c r="N45" s="774">
        <f>B20</f>
        <v>0</v>
      </c>
      <c r="O45" s="775" t="s">
        <v>117</v>
      </c>
      <c r="P45" s="756"/>
      <c r="Q45" s="813" t="s">
        <v>149</v>
      </c>
      <c r="R45" s="783" t="s">
        <v>150</v>
      </c>
      <c r="S45" s="817" t="s">
        <v>151</v>
      </c>
      <c r="T45" s="818">
        <f>IF(N61=1,0,ROUNDUP((1000000/N69)*N68,0))</f>
        <v>0</v>
      </c>
      <c r="U45" s="820" t="s">
        <v>117</v>
      </c>
      <c r="W45" s="813" t="s">
        <v>152</v>
      </c>
      <c r="X45" s="783" t="s">
        <v>153</v>
      </c>
      <c r="Y45" s="783" t="s">
        <v>109</v>
      </c>
      <c r="Z45" s="851">
        <f>VLOOKUP($M$36,$AC$38:$BE$55,17,FALSE)</f>
        <v>1068</v>
      </c>
      <c r="AA45" s="820" t="s">
        <v>154</v>
      </c>
      <c r="AC45" s="808"/>
      <c r="AD45" s="808"/>
      <c r="AE45" s="808"/>
      <c r="AF45" s="808"/>
      <c r="AG45" s="808"/>
      <c r="AH45" s="808"/>
      <c r="AI45" s="864"/>
      <c r="AJ45" s="808"/>
    </row>
    <row r="46" spans="11:58" ht="60" hidden="1" customHeight="1">
      <c r="K46" s="776" t="s">
        <v>155</v>
      </c>
      <c r="L46" s="777" t="str">
        <f>"交叠曝光时间 
范围:0"&amp;"-"&amp;ROUNDUP(((N57*N75+Z43+Z48+Z50)*T39/1000),0)</f>
        <v>交叠曝光时间 
范围:0-32976</v>
      </c>
      <c r="M46" s="768">
        <f>ROUNDUP((M57+Z43+Z48+Z50)*T39/1000,0)</f>
        <v>32976</v>
      </c>
      <c r="N46" s="778">
        <v>0</v>
      </c>
      <c r="O46" s="775" t="s">
        <v>117</v>
      </c>
      <c r="P46" s="756"/>
      <c r="Q46" s="772" t="s">
        <v>156</v>
      </c>
      <c r="R46" s="781" t="s">
        <v>157</v>
      </c>
      <c r="S46" s="781" t="s">
        <v>158</v>
      </c>
      <c r="T46" s="821">
        <f>Z81</f>
        <v>40450</v>
      </c>
      <c r="U46" s="822" t="s">
        <v>117</v>
      </c>
      <c r="W46" s="813" t="s">
        <v>159</v>
      </c>
      <c r="X46" s="783" t="s">
        <v>160</v>
      </c>
      <c r="Y46" s="783" t="s">
        <v>109</v>
      </c>
      <c r="Z46" s="851">
        <f>VLOOKUP($M$36,$AC$38:$BE$55,18,FALSE)</f>
        <v>6</v>
      </c>
      <c r="AA46" s="820" t="s">
        <v>140</v>
      </c>
      <c r="AC46" s="808"/>
      <c r="AD46" s="808"/>
      <c r="AE46" s="808"/>
      <c r="AF46" s="808"/>
      <c r="AG46" s="808"/>
      <c r="AH46" s="808"/>
      <c r="AI46" s="864"/>
      <c r="AJ46" s="808"/>
    </row>
    <row r="47" spans="11:58" ht="87.75" hidden="1" customHeight="1">
      <c r="K47" s="779" t="s">
        <v>161</v>
      </c>
      <c r="L47" s="780" t="s">
        <v>162</v>
      </c>
      <c r="M47" s="781" t="s">
        <v>163</v>
      </c>
      <c r="N47" s="782">
        <v>2</v>
      </c>
      <c r="O47" s="775" t="s">
        <v>117</v>
      </c>
      <c r="P47" s="756"/>
      <c r="Q47" s="1306" t="s">
        <v>164</v>
      </c>
      <c r="R47" s="1307"/>
      <c r="S47" s="1307"/>
      <c r="T47" s="1307"/>
      <c r="U47" s="1308"/>
      <c r="W47" s="813" t="s">
        <v>165</v>
      </c>
      <c r="X47" s="783" t="s">
        <v>166</v>
      </c>
      <c r="Y47" s="783" t="s">
        <v>109</v>
      </c>
      <c r="Z47" s="851">
        <f>VLOOKUP($M$36,$AC$38:$BE$55,26,FALSE)</f>
        <v>1</v>
      </c>
      <c r="AA47" s="916" t="s">
        <v>122</v>
      </c>
      <c r="AC47" s="808"/>
      <c r="AD47" s="808"/>
      <c r="AE47" s="808"/>
      <c r="AF47" s="808"/>
      <c r="AG47" s="808"/>
      <c r="AH47" s="808"/>
      <c r="AI47" s="864"/>
      <c r="AJ47" s="808"/>
    </row>
    <row r="48" spans="11:58" ht="87.75" hidden="1" customHeight="1">
      <c r="K48" s="1312" t="s">
        <v>167</v>
      </c>
      <c r="L48" s="1313"/>
      <c r="M48" s="1313"/>
      <c r="N48" s="1313"/>
      <c r="O48" s="1314"/>
      <c r="P48" s="756"/>
      <c r="Q48" s="803" t="s">
        <v>141</v>
      </c>
      <c r="R48" s="804" t="s">
        <v>168</v>
      </c>
      <c r="S48" s="804" t="s">
        <v>169</v>
      </c>
      <c r="T48" s="812">
        <f>IF((N49=1)*(N43="TriggerWidth"),MAX(N46,N47),ROUNDUP((1000*N44-1000*Z45/Z39)/1000,0))</f>
        <v>39987</v>
      </c>
      <c r="U48" s="816" t="s">
        <v>117</v>
      </c>
      <c r="W48" s="772" t="s">
        <v>170</v>
      </c>
      <c r="X48" s="773" t="s">
        <v>171</v>
      </c>
      <c r="Y48" s="773" t="s">
        <v>109</v>
      </c>
      <c r="Z48" s="851">
        <f>VLOOKUP($M$36,$AC$38:$BE$55,20,FALSE)</f>
        <v>1</v>
      </c>
      <c r="AA48" s="820" t="s">
        <v>140</v>
      </c>
      <c r="AC48" s="808"/>
      <c r="AD48" s="808"/>
      <c r="AE48" s="808"/>
      <c r="AF48" s="808"/>
      <c r="AG48" s="808"/>
      <c r="AH48" s="808"/>
      <c r="AI48" s="864"/>
      <c r="AJ48" s="808"/>
    </row>
    <row r="49" spans="11:36" ht="87.75" hidden="1" customHeight="1">
      <c r="K49" s="783" t="s">
        <v>172</v>
      </c>
      <c r="L49" s="783" t="s">
        <v>167</v>
      </c>
      <c r="M49" s="783">
        <v>0</v>
      </c>
      <c r="N49" s="784">
        <f>B21</f>
        <v>0</v>
      </c>
      <c r="O49" s="785"/>
      <c r="P49" s="756"/>
      <c r="Q49" s="788" t="s">
        <v>173</v>
      </c>
      <c r="R49" s="776" t="s">
        <v>174</v>
      </c>
      <c r="S49" s="776" t="s">
        <v>175</v>
      </c>
      <c r="T49" s="814">
        <f>N45</f>
        <v>0</v>
      </c>
      <c r="U49" s="823" t="s">
        <v>117</v>
      </c>
      <c r="W49" s="824" t="s">
        <v>176</v>
      </c>
      <c r="X49" s="825" t="s">
        <v>177</v>
      </c>
      <c r="Y49" s="854" t="s">
        <v>109</v>
      </c>
      <c r="Z49" s="855">
        <f>VLOOKUP($M$36,$AC$38:$BF$55,30,FALSE)</f>
        <v>0</v>
      </c>
      <c r="AA49" s="856" t="s">
        <v>117</v>
      </c>
      <c r="AC49" s="808"/>
      <c r="AD49" s="808"/>
      <c r="AE49" s="808"/>
      <c r="AF49" s="808"/>
      <c r="AG49" s="808"/>
      <c r="AH49" s="808"/>
      <c r="AI49" s="864"/>
      <c r="AJ49" s="808"/>
    </row>
    <row r="50" spans="11:36" ht="87.75" hidden="1" customHeight="1">
      <c r="K50" s="763" t="s">
        <v>178</v>
      </c>
      <c r="L50" s="764" t="s">
        <v>179</v>
      </c>
      <c r="M50" s="764">
        <v>0</v>
      </c>
      <c r="N50" s="786">
        <v>0</v>
      </c>
      <c r="O50" s="766"/>
      <c r="P50" s="756"/>
      <c r="Q50" s="788" t="s">
        <v>180</v>
      </c>
      <c r="R50" s="776" t="s">
        <v>181</v>
      </c>
      <c r="S50" s="776" t="s">
        <v>182</v>
      </c>
      <c r="T50" s="814">
        <f>IF(Z47=1,IF((N49=1)*(N43="TriggerWidth"),IF((N46&lt;=ROUNDUP(T39*6/1000,0))*(N46&gt;0),1,0),IF((MAX(T43,T44,T45,T46)-T48)&lt;T43,(IF((MAX(T43,T44,T45,T46)-T48)&gt;=(T43-ROUNDUP(6*T39/1000,0)),1,0)),0)),0)</f>
        <v>0</v>
      </c>
      <c r="U50" s="826" t="s">
        <v>122</v>
      </c>
      <c r="W50" s="824" t="s">
        <v>183</v>
      </c>
      <c r="X50" s="825" t="s">
        <v>184</v>
      </c>
      <c r="Y50" s="854" t="s">
        <v>109</v>
      </c>
      <c r="Z50" s="857">
        <f>VLOOKUP($M$36,$AC$38:$BF$55,28,FALSE)</f>
        <v>1</v>
      </c>
      <c r="AA50" s="820" t="s">
        <v>140</v>
      </c>
      <c r="AC50" s="808"/>
      <c r="AD50" s="808"/>
      <c r="AE50" s="808"/>
      <c r="AF50" s="808"/>
      <c r="AG50" s="808"/>
      <c r="AH50" s="808"/>
      <c r="AI50" s="864"/>
      <c r="AJ50" s="808"/>
    </row>
    <row r="51" spans="11:36" ht="111" hidden="1" customHeight="1">
      <c r="K51" s="760" t="s">
        <v>185</v>
      </c>
      <c r="L51" s="761"/>
      <c r="M51" s="761"/>
      <c r="N51" s="761"/>
      <c r="O51" s="762"/>
      <c r="P51" s="756"/>
      <c r="Q51" s="791" t="s">
        <v>186</v>
      </c>
      <c r="R51" s="781" t="s">
        <v>187</v>
      </c>
      <c r="S51" s="781" t="s">
        <v>188</v>
      </c>
      <c r="T51" s="827">
        <f>IF(T50=1,IF((N49=1)*(N43="TriggerWidth"),N46,T43-(MAX(T43,T44,T45,T46)-T48)),0)</f>
        <v>0</v>
      </c>
      <c r="U51" s="828" t="s">
        <v>117</v>
      </c>
      <c r="W51" s="760" t="s">
        <v>189</v>
      </c>
      <c r="X51" s="761"/>
      <c r="Y51" s="761"/>
      <c r="Z51" s="761"/>
      <c r="AA51" s="762"/>
      <c r="AC51" s="808"/>
      <c r="AD51" s="808"/>
      <c r="AE51" s="808"/>
      <c r="AF51" s="808"/>
      <c r="AG51" s="808"/>
      <c r="AH51" s="808"/>
      <c r="AI51" s="864"/>
      <c r="AJ51" s="808"/>
    </row>
    <row r="52" spans="11:36" ht="111" hidden="1" customHeight="1">
      <c r="K52" s="763" t="s">
        <v>190</v>
      </c>
      <c r="L52" s="764" t="s">
        <v>191</v>
      </c>
      <c r="M52" s="764">
        <v>0</v>
      </c>
      <c r="N52" s="765">
        <v>0</v>
      </c>
      <c r="O52" s="766" t="s">
        <v>117</v>
      </c>
      <c r="P52" s="756"/>
      <c r="Q52" s="760" t="s">
        <v>192</v>
      </c>
      <c r="R52" s="761"/>
      <c r="S52" s="761"/>
      <c r="T52" s="761"/>
      <c r="U52" s="762"/>
      <c r="W52" s="757" t="s">
        <v>91</v>
      </c>
      <c r="X52" s="758" t="s">
        <v>92</v>
      </c>
      <c r="Y52" s="758" t="s">
        <v>93</v>
      </c>
      <c r="Z52" s="758" t="s">
        <v>96</v>
      </c>
      <c r="AA52" s="846" t="s">
        <v>95</v>
      </c>
      <c r="AC52" s="808"/>
      <c r="AD52" s="808"/>
      <c r="AE52" s="808"/>
      <c r="AF52" s="808"/>
      <c r="AG52" s="808"/>
      <c r="AH52" s="808"/>
      <c r="AI52" s="865"/>
      <c r="AJ52" s="865"/>
    </row>
    <row r="53" spans="11:36" ht="60.75" hidden="1" customHeight="1">
      <c r="K53" s="760" t="s">
        <v>193</v>
      </c>
      <c r="L53" s="761"/>
      <c r="M53" s="761"/>
      <c r="N53" s="761"/>
      <c r="O53" s="762"/>
      <c r="P53" s="756"/>
      <c r="Q53" s="803" t="s">
        <v>194</v>
      </c>
      <c r="R53" s="804" t="s">
        <v>195</v>
      </c>
      <c r="S53" s="804" t="s">
        <v>196</v>
      </c>
      <c r="T53" s="812">
        <f>T41*Z70</f>
        <v>1212756489.4932015</v>
      </c>
      <c r="U53" s="829" t="s">
        <v>197</v>
      </c>
      <c r="W53" s="767" t="s">
        <v>198</v>
      </c>
      <c r="X53" s="768" t="s">
        <v>199</v>
      </c>
      <c r="Y53" s="768" t="s">
        <v>200</v>
      </c>
      <c r="Z53" s="849">
        <v>7</v>
      </c>
      <c r="AA53" s="850" t="s">
        <v>201</v>
      </c>
      <c r="AC53" s="808"/>
      <c r="AD53" s="808"/>
      <c r="AE53" s="808"/>
      <c r="AF53" s="808"/>
      <c r="AG53" s="808"/>
      <c r="AH53" s="808"/>
      <c r="AI53" s="865"/>
      <c r="AJ53" s="865"/>
    </row>
    <row r="54" spans="11:36" ht="30" hidden="1" customHeight="1">
      <c r="K54" s="767" t="s">
        <v>202</v>
      </c>
      <c r="L54" s="768" t="s">
        <v>203</v>
      </c>
      <c r="M54" s="768">
        <v>0</v>
      </c>
      <c r="N54" s="771">
        <v>0</v>
      </c>
      <c r="O54" s="787" t="s">
        <v>119</v>
      </c>
      <c r="P54" s="756"/>
      <c r="Q54" s="830" t="s">
        <v>204</v>
      </c>
      <c r="R54" s="281" t="s">
        <v>205</v>
      </c>
      <c r="S54" s="776" t="s">
        <v>206</v>
      </c>
      <c r="T54" s="814">
        <f>T41*Z77</f>
        <v>1222008207.6637826</v>
      </c>
      <c r="U54" s="831" t="s">
        <v>197</v>
      </c>
      <c r="W54" s="813" t="s">
        <v>207</v>
      </c>
      <c r="X54" s="783" t="s">
        <v>208</v>
      </c>
      <c r="Y54" s="783" t="s">
        <v>209</v>
      </c>
      <c r="Z54" s="851">
        <v>1</v>
      </c>
      <c r="AA54" s="820" t="s">
        <v>201</v>
      </c>
      <c r="AC54" s="808"/>
      <c r="AD54" s="808"/>
      <c r="AE54" s="808"/>
      <c r="AF54" s="808"/>
      <c r="AG54" s="808"/>
      <c r="AH54" s="808"/>
      <c r="AI54" s="865"/>
      <c r="AJ54" s="865"/>
    </row>
    <row r="55" spans="11:36" ht="30" hidden="1" customHeight="1">
      <c r="K55" s="788" t="s">
        <v>210</v>
      </c>
      <c r="L55" s="776" t="s">
        <v>211</v>
      </c>
      <c r="M55" s="776">
        <v>0</v>
      </c>
      <c r="N55" s="789">
        <v>0</v>
      </c>
      <c r="O55" s="790" t="s">
        <v>119</v>
      </c>
      <c r="P55" s="756"/>
      <c r="Q55" s="832" t="s">
        <v>212</v>
      </c>
      <c r="R55" s="284" t="s">
        <v>213</v>
      </c>
      <c r="S55" s="781" t="s">
        <v>214</v>
      </c>
      <c r="T55" s="827">
        <f>1250*N63*(100-N66)</f>
        <v>1225000000</v>
      </c>
      <c r="U55" s="833" t="s">
        <v>197</v>
      </c>
      <c r="W55" s="813" t="s">
        <v>215</v>
      </c>
      <c r="X55" s="783" t="s">
        <v>216</v>
      </c>
      <c r="Y55" s="783" t="s">
        <v>217</v>
      </c>
      <c r="Z55" s="851">
        <v>14</v>
      </c>
      <c r="AA55" s="820" t="s">
        <v>201</v>
      </c>
    </row>
    <row r="56" spans="11:36" ht="30" hidden="1" customHeight="1">
      <c r="K56" s="788" t="s">
        <v>218</v>
      </c>
      <c r="L56" s="776" t="s">
        <v>19</v>
      </c>
      <c r="M56" s="776">
        <f>VLOOKUP($M$36,$AC$38:$BE$55,23,FALSE)</f>
        <v>7008</v>
      </c>
      <c r="N56" s="789">
        <f>B4</f>
        <v>7008</v>
      </c>
      <c r="O56" s="790" t="s">
        <v>119</v>
      </c>
      <c r="P56" s="756"/>
      <c r="Q56" s="760" t="s">
        <v>219</v>
      </c>
      <c r="R56" s="761"/>
      <c r="S56" s="761"/>
      <c r="T56" s="761"/>
      <c r="U56" s="762"/>
      <c r="W56" s="813" t="s">
        <v>220</v>
      </c>
      <c r="X56" s="783" t="s">
        <v>221</v>
      </c>
      <c r="Y56" s="783" t="s">
        <v>222</v>
      </c>
      <c r="Z56" s="851">
        <v>20</v>
      </c>
      <c r="AA56" s="820" t="s">
        <v>201</v>
      </c>
      <c r="AB56" s="808"/>
    </row>
    <row r="57" spans="11:36" ht="70.5" hidden="1" customHeight="1">
      <c r="K57" s="791" t="s">
        <v>223</v>
      </c>
      <c r="L57" s="781" t="s">
        <v>20</v>
      </c>
      <c r="M57" s="781">
        <f>VLOOKUP($M$36,$AC$38:$BE$55,24,FALSE)</f>
        <v>7000</v>
      </c>
      <c r="N57" s="792">
        <f>B5</f>
        <v>7000</v>
      </c>
      <c r="O57" s="775" t="s">
        <v>119</v>
      </c>
      <c r="P57" s="756"/>
      <c r="Q57" s="834" t="s">
        <v>224</v>
      </c>
      <c r="R57" s="287" t="s">
        <v>225</v>
      </c>
      <c r="S57" s="804" t="s">
        <v>226</v>
      </c>
      <c r="T57" s="812">
        <f>IF(N63=10000,0,IF(N63=5000,1,IF(N63=2500,2,IF(N63=1000,3,3))))</f>
        <v>0</v>
      </c>
      <c r="U57" s="829" t="s">
        <v>163</v>
      </c>
      <c r="W57" s="813" t="s">
        <v>227</v>
      </c>
      <c r="X57" s="783" t="s">
        <v>228</v>
      </c>
      <c r="Y57" s="783" t="s">
        <v>229</v>
      </c>
      <c r="Z57" s="851">
        <v>8</v>
      </c>
      <c r="AA57" s="820" t="s">
        <v>201</v>
      </c>
      <c r="AB57" s="808"/>
    </row>
    <row r="58" spans="11:36" ht="45" hidden="1" customHeight="1">
      <c r="K58" s="760" t="s">
        <v>230</v>
      </c>
      <c r="L58" s="761"/>
      <c r="M58" s="761"/>
      <c r="N58" s="761"/>
      <c r="O58" s="762"/>
      <c r="P58" s="756"/>
      <c r="Q58" s="835" t="s">
        <v>231</v>
      </c>
      <c r="R58" s="289" t="s">
        <v>232</v>
      </c>
      <c r="S58" s="779" t="s">
        <v>233</v>
      </c>
      <c r="T58" s="836">
        <f>ROUNDUP(N65*VLOOKUP($M$36,$AC$38:$BE$41,27,FALSE)/1000,0)</f>
        <v>0</v>
      </c>
      <c r="U58" s="837" t="s">
        <v>154</v>
      </c>
      <c r="W58" s="813" t="s">
        <v>234</v>
      </c>
      <c r="X58" s="783" t="s">
        <v>235</v>
      </c>
      <c r="Y58" s="783" t="s">
        <v>229</v>
      </c>
      <c r="Z58" s="851">
        <v>8</v>
      </c>
      <c r="AA58" s="820" t="s">
        <v>201</v>
      </c>
      <c r="AB58" s="808"/>
    </row>
    <row r="59" spans="11:36" ht="45.75" hidden="1" customHeight="1">
      <c r="K59" s="793" t="s">
        <v>236</v>
      </c>
      <c r="L59" s="794" t="s">
        <v>237</v>
      </c>
      <c r="M59" s="795">
        <v>0</v>
      </c>
      <c r="N59" s="796">
        <v>0</v>
      </c>
      <c r="O59" s="797" t="s">
        <v>122</v>
      </c>
      <c r="P59" s="756"/>
      <c r="Q59" s="760" t="s">
        <v>238</v>
      </c>
      <c r="R59" s="761"/>
      <c r="S59" s="761"/>
      <c r="T59" s="761"/>
      <c r="U59" s="762"/>
      <c r="W59" s="813" t="s">
        <v>239</v>
      </c>
      <c r="X59" s="783" t="s">
        <v>240</v>
      </c>
      <c r="Y59" s="783" t="s">
        <v>241</v>
      </c>
      <c r="Z59" s="851">
        <v>4</v>
      </c>
      <c r="AA59" s="820" t="s">
        <v>201</v>
      </c>
    </row>
    <row r="60" spans="11:36" ht="48" hidden="1" customHeight="1">
      <c r="K60" s="760" t="s">
        <v>242</v>
      </c>
      <c r="L60" s="761"/>
      <c r="M60" s="761"/>
      <c r="N60" s="761"/>
      <c r="O60" s="762"/>
      <c r="P60" s="756"/>
      <c r="Q60" s="838" t="s">
        <v>243</v>
      </c>
      <c r="R60" s="293" t="s">
        <v>244</v>
      </c>
      <c r="S60" s="839" t="s">
        <v>245</v>
      </c>
      <c r="T60" s="840">
        <f>IF(ROUNDUP(Z84*1000*8/N63,0)&gt;200000000,200000000,ROUNDUP(Z84*1000*8/N63,0))</f>
        <v>1616504</v>
      </c>
      <c r="U60" s="841" t="s">
        <v>106</v>
      </c>
      <c r="W60" s="813" t="s">
        <v>246</v>
      </c>
      <c r="X60" s="783" t="s">
        <v>247</v>
      </c>
      <c r="Y60" s="783" t="s">
        <v>248</v>
      </c>
      <c r="Z60" s="851">
        <v>12</v>
      </c>
      <c r="AA60" s="820" t="s">
        <v>201</v>
      </c>
    </row>
    <row r="61" spans="11:36" ht="69.75" hidden="1" customHeight="1">
      <c r="K61" s="798" t="s">
        <v>249</v>
      </c>
      <c r="L61" s="799" t="s">
        <v>250</v>
      </c>
      <c r="M61" s="800">
        <v>0</v>
      </c>
      <c r="N61" s="801">
        <v>0</v>
      </c>
      <c r="O61" s="802" t="s">
        <v>122</v>
      </c>
      <c r="Q61" s="760" t="s">
        <v>251</v>
      </c>
      <c r="R61" s="761"/>
      <c r="S61" s="761"/>
      <c r="T61" s="761"/>
      <c r="U61" s="762"/>
      <c r="W61" s="813" t="s">
        <v>252</v>
      </c>
      <c r="X61" s="776" t="s">
        <v>253</v>
      </c>
      <c r="Y61" s="783" t="s">
        <v>254</v>
      </c>
      <c r="Z61" s="851">
        <f>Z56+Z57+Z58</f>
        <v>36</v>
      </c>
      <c r="AA61" s="820" t="s">
        <v>201</v>
      </c>
      <c r="AC61" s="1315" t="s">
        <v>255</v>
      </c>
      <c r="AD61" s="1316"/>
      <c r="AE61" s="1316"/>
      <c r="AF61" s="1316"/>
      <c r="AG61" s="1316"/>
      <c r="AH61" s="1317"/>
    </row>
    <row r="62" spans="11:36" ht="62.25" hidden="1" customHeight="1">
      <c r="K62" s="760" t="s">
        <v>256</v>
      </c>
      <c r="L62" s="761"/>
      <c r="M62" s="761"/>
      <c r="N62" s="761"/>
      <c r="O62" s="762"/>
      <c r="Q62" s="838" t="s">
        <v>257</v>
      </c>
      <c r="R62" s="293" t="s">
        <v>251</v>
      </c>
      <c r="S62" s="839" t="s">
        <v>258</v>
      </c>
      <c r="T62" s="840">
        <f>IF((100-ROUNDDOWN(10*Z79/(125000*N63),0)-1)&lt;0,0,(100-ROUNDDOWN(10*Z79/(125000*N63),0)-1))</f>
        <v>99</v>
      </c>
      <c r="U62" s="841" t="s">
        <v>259</v>
      </c>
      <c r="W62" s="813" t="s">
        <v>260</v>
      </c>
      <c r="X62" s="776" t="s">
        <v>261</v>
      </c>
      <c r="Y62" s="783" t="s">
        <v>262</v>
      </c>
      <c r="Z62" s="851">
        <f>Z53+Z54+Z55+Z59</f>
        <v>26</v>
      </c>
      <c r="AA62" s="820" t="s">
        <v>201</v>
      </c>
      <c r="AC62" s="757" t="s">
        <v>263</v>
      </c>
      <c r="AD62" s="758" t="s">
        <v>264</v>
      </c>
      <c r="AE62" s="758" t="s">
        <v>92</v>
      </c>
      <c r="AF62" s="758" t="s">
        <v>93</v>
      </c>
      <c r="AG62" s="866" t="s">
        <v>265</v>
      </c>
      <c r="AH62" s="759" t="s">
        <v>266</v>
      </c>
    </row>
    <row r="63" spans="11:36" ht="50.25" hidden="1" customHeight="1">
      <c r="K63" s="803" t="s">
        <v>267</v>
      </c>
      <c r="L63" s="804" t="s">
        <v>268</v>
      </c>
      <c r="M63" s="805" t="s">
        <v>122</v>
      </c>
      <c r="N63" s="806">
        <f>B12</f>
        <v>10000</v>
      </c>
      <c r="O63" s="770" t="s">
        <v>269</v>
      </c>
      <c r="Q63" s="760" t="s">
        <v>270</v>
      </c>
      <c r="R63" s="761"/>
      <c r="S63" s="761"/>
      <c r="T63" s="761"/>
      <c r="U63" s="762"/>
      <c r="W63" s="772" t="s">
        <v>271</v>
      </c>
      <c r="X63" s="773" t="s">
        <v>272</v>
      </c>
      <c r="Y63" s="773" t="s">
        <v>273</v>
      </c>
      <c r="Z63" s="821">
        <f>64-Z55-Z59-Z61</f>
        <v>10</v>
      </c>
      <c r="AA63" s="822" t="s">
        <v>201</v>
      </c>
      <c r="AC63" s="858" t="s">
        <v>274</v>
      </c>
      <c r="AD63" s="804" t="str">
        <f>IF(OR(M37="A7",M37="KU3P"),"0x01001004","0x77601654")</f>
        <v>0x01001004</v>
      </c>
      <c r="AE63" s="859" t="s">
        <v>275</v>
      </c>
      <c r="AF63" s="768" t="s">
        <v>147</v>
      </c>
      <c r="AG63" s="867" t="str">
        <f>DEC2HEX(T49)</f>
        <v>0</v>
      </c>
      <c r="AH63" s="868"/>
    </row>
    <row r="64" spans="11:36" ht="156" hidden="1" customHeight="1">
      <c r="K64" s="788" t="s">
        <v>276</v>
      </c>
      <c r="L64" s="776" t="s">
        <v>34</v>
      </c>
      <c r="M64" s="807">
        <v>1500</v>
      </c>
      <c r="N64" s="789">
        <f>B19</f>
        <v>8164</v>
      </c>
      <c r="O64" s="790" t="s">
        <v>201</v>
      </c>
      <c r="Q64" s="834" t="s">
        <v>277</v>
      </c>
      <c r="R64" s="287" t="s">
        <v>278</v>
      </c>
      <c r="S64" s="804" t="s">
        <v>279</v>
      </c>
      <c r="T64" s="842" t="str">
        <f>IF((N49=1)*(N43="TriggerWidth"),ROUNDUP(T43+MAX(N46,N47)-(N46-Z44*T39/1000)*(N46&gt;ROUNDUP(6*T39/1000,0)),0),"null")</f>
        <v>null</v>
      </c>
      <c r="U64" s="843" t="s">
        <v>117</v>
      </c>
      <c r="W64" s="760" t="s">
        <v>280</v>
      </c>
      <c r="X64" s="761"/>
      <c r="Y64" s="761"/>
      <c r="Z64" s="761"/>
      <c r="AA64" s="762"/>
      <c r="AC64" s="860" t="s">
        <v>281</v>
      </c>
      <c r="AD64" s="776" t="str">
        <f>IF(OR(M37="A7",M37="KU3P"),"0x01001008","0x77601658")</f>
        <v>0x01001008</v>
      </c>
      <c r="AE64" s="861" t="s">
        <v>282</v>
      </c>
      <c r="AF64" s="783" t="s">
        <v>141</v>
      </c>
      <c r="AG64" s="869" t="str">
        <f>DEC2HEX(T48)</f>
        <v>9C33</v>
      </c>
      <c r="AH64" s="870"/>
    </row>
    <row r="65" spans="11:34" ht="84.75" hidden="1" customHeight="1">
      <c r="K65" s="788" t="str">
        <f>"流通道包间隔 
范围:0"&amp;"-"&amp;T60</f>
        <v>流通道包间隔 
范围:0-1616504</v>
      </c>
      <c r="L65" s="776" t="s">
        <v>32</v>
      </c>
      <c r="M65" s="807">
        <v>0</v>
      </c>
      <c r="N65" s="789">
        <f>B17</f>
        <v>0</v>
      </c>
      <c r="O65" s="790" t="s">
        <v>106</v>
      </c>
      <c r="Q65" s="835" t="s">
        <v>283</v>
      </c>
      <c r="R65" s="289" t="s">
        <v>284</v>
      </c>
      <c r="S65" s="779" t="s">
        <v>285</v>
      </c>
      <c r="T65" s="893" t="str">
        <f>IF((N49=1)*(N43="TriggerWidth"),MAX(N46,N47)+Z45/Z39,"null")</f>
        <v>null</v>
      </c>
      <c r="U65" s="837" t="s">
        <v>117</v>
      </c>
      <c r="W65" s="757" t="s">
        <v>91</v>
      </c>
      <c r="X65" s="758" t="s">
        <v>92</v>
      </c>
      <c r="Y65" s="758" t="s">
        <v>93</v>
      </c>
      <c r="Z65" s="758" t="s">
        <v>96</v>
      </c>
      <c r="AA65" s="846" t="s">
        <v>95</v>
      </c>
      <c r="AC65" s="860" t="s">
        <v>286</v>
      </c>
      <c r="AD65" s="776" t="str">
        <f>IF(OR(M37="A7",M37="KU3P"),"0x01001010","0x7760165c")</f>
        <v>0x01001010</v>
      </c>
      <c r="AE65" s="861" t="s">
        <v>287</v>
      </c>
      <c r="AF65" s="783" t="s">
        <v>114</v>
      </c>
      <c r="AG65" s="869" t="str">
        <f>DEC2HEX(MAX(T43,T44,T45,T46))</f>
        <v>9E02</v>
      </c>
      <c r="AH65" s="870"/>
    </row>
    <row r="66" spans="11:34" ht="57" hidden="1" customHeight="1">
      <c r="K66" s="791" t="str">
        <f>"预留带宽 
范围:0-"&amp;T62</f>
        <v>预留带宽 
范围:0-99</v>
      </c>
      <c r="L66" s="781" t="s">
        <v>30</v>
      </c>
      <c r="M66" s="885">
        <v>10</v>
      </c>
      <c r="N66" s="792">
        <f>B15</f>
        <v>2</v>
      </c>
      <c r="O66" s="775" t="s">
        <v>259</v>
      </c>
      <c r="W66" s="767" t="s">
        <v>288</v>
      </c>
      <c r="X66" s="804" t="s">
        <v>289</v>
      </c>
      <c r="Y66" s="768" t="s">
        <v>290</v>
      </c>
      <c r="Z66" s="849">
        <f>36</f>
        <v>36</v>
      </c>
      <c r="AA66" s="850" t="s">
        <v>201</v>
      </c>
      <c r="AC66" s="860" t="s">
        <v>291</v>
      </c>
      <c r="AD66" s="776" t="str">
        <f>IF(OR(M37="A7",M37="KU3P"),"0x01001014","0x77601850")</f>
        <v>0x01001014</v>
      </c>
      <c r="AE66" s="861" t="s">
        <v>292</v>
      </c>
      <c r="AF66" s="783" t="s">
        <v>114</v>
      </c>
      <c r="AG66" s="869" t="str">
        <f>IF(N43="TriggerWidth",DEC2HEX(MAX(T43,T45)),IF(N50=0,DEC2HEX(MAX(T43,T44,T45)),DEC2HEX(MAX(T43,T44,T45,T46))))</f>
        <v>9C8A</v>
      </c>
      <c r="AH66" s="870"/>
    </row>
    <row r="67" spans="11:34" ht="60" hidden="1" customHeight="1">
      <c r="K67" s="760" t="s">
        <v>293</v>
      </c>
      <c r="L67" s="761"/>
      <c r="M67" s="761"/>
      <c r="N67" s="761"/>
      <c r="O67" s="762"/>
      <c r="W67" s="813" t="s">
        <v>294</v>
      </c>
      <c r="X67" s="776" t="s">
        <v>295</v>
      </c>
      <c r="Y67" s="783" t="s">
        <v>296</v>
      </c>
      <c r="Z67" s="851">
        <v>10</v>
      </c>
      <c r="AA67" s="820" t="s">
        <v>201</v>
      </c>
      <c r="AC67" s="860" t="s">
        <v>297</v>
      </c>
      <c r="AD67" s="776" t="str">
        <f>IF(OR(M37="A7",M37="KU3P"),"0x01001018","待定")</f>
        <v>0x01001018</v>
      </c>
      <c r="AE67" s="861" t="s">
        <v>298</v>
      </c>
      <c r="AF67" s="776" t="s">
        <v>114</v>
      </c>
      <c r="AG67" s="869" t="str">
        <f>DEC2HEX(MAX(T43,T44))</f>
        <v>9C8A</v>
      </c>
      <c r="AH67" s="870"/>
    </row>
    <row r="68" spans="11:34" ht="50.1" hidden="1" customHeight="1">
      <c r="K68" s="767" t="s">
        <v>299</v>
      </c>
      <c r="L68" s="768" t="s">
        <v>300</v>
      </c>
      <c r="M68" s="768">
        <v>0</v>
      </c>
      <c r="N68" s="771">
        <f>B13</f>
        <v>0</v>
      </c>
      <c r="O68" s="787" t="s">
        <v>122</v>
      </c>
      <c r="W68" s="894" t="s">
        <v>301</v>
      </c>
      <c r="X68" s="895" t="s">
        <v>302</v>
      </c>
      <c r="Y68" s="895" t="s">
        <v>303</v>
      </c>
      <c r="Z68" s="814">
        <v>60</v>
      </c>
      <c r="AA68" s="831" t="s">
        <v>201</v>
      </c>
      <c r="AC68" s="860" t="s">
        <v>304</v>
      </c>
      <c r="AD68" s="776" t="str">
        <f>IF(OR(M37="A7",M37="KU3P"),"0x0100100C","0x7760185C")</f>
        <v>0x0100100C</v>
      </c>
      <c r="AE68" s="861" t="s">
        <v>305</v>
      </c>
      <c r="AF68" s="783" t="s">
        <v>135</v>
      </c>
      <c r="AG68" s="869" t="str">
        <f>DEC2HEX(T43)</f>
        <v>8119</v>
      </c>
      <c r="AH68" s="870"/>
    </row>
    <row r="69" spans="11:34" ht="75" hidden="1" customHeight="1">
      <c r="K69" s="772" t="s">
        <v>293</v>
      </c>
      <c r="L69" s="773" t="s">
        <v>306</v>
      </c>
      <c r="M69" s="773">
        <f>VLOOKUP($M$36,$AC$38:$BE$55,25,FALSE)</f>
        <v>22</v>
      </c>
      <c r="N69" s="774">
        <f>B14</f>
        <v>22</v>
      </c>
      <c r="O69" s="886" t="s">
        <v>125</v>
      </c>
      <c r="W69" s="788" t="s">
        <v>307</v>
      </c>
      <c r="X69" s="776" t="s">
        <v>308</v>
      </c>
      <c r="Y69" s="776" t="s">
        <v>309</v>
      </c>
      <c r="Z69" s="814">
        <f>N56*N57*IF(N41=8,1,2)</f>
        <v>49056000</v>
      </c>
      <c r="AA69" s="820" t="s">
        <v>201</v>
      </c>
      <c r="AC69" s="897" t="s">
        <v>310</v>
      </c>
      <c r="AD69" s="776" t="str">
        <f>IF(OR(M37="A7",M37="KU3P"),"0x0100101C","0x77601860")</f>
        <v>0x0100101C</v>
      </c>
      <c r="AE69" s="861" t="s">
        <v>311</v>
      </c>
      <c r="AF69" s="783" t="s">
        <v>312</v>
      </c>
      <c r="AG69" s="903" t="str">
        <f>DEC2HEX(IF(Z47=1,ROUNDUP(6*T39/1000,0),0))</f>
        <v>1D</v>
      </c>
      <c r="AH69" s="870"/>
    </row>
    <row r="70" spans="11:34" ht="43.5" hidden="1" customHeight="1">
      <c r="K70" s="760" t="s">
        <v>313</v>
      </c>
      <c r="L70" s="761"/>
      <c r="M70" s="761"/>
      <c r="N70" s="761"/>
      <c r="O70" s="762"/>
      <c r="Q70" s="1318"/>
      <c r="R70" s="1318"/>
      <c r="S70" s="1318"/>
      <c r="T70" s="1318"/>
      <c r="U70" s="1318"/>
      <c r="W70" s="813" t="s">
        <v>314</v>
      </c>
      <c r="X70" s="776" t="s">
        <v>315</v>
      </c>
      <c r="Y70" s="776" t="s">
        <v>316</v>
      </c>
      <c r="Z70" s="851">
        <f>Z69+Z68*N59</f>
        <v>49056000</v>
      </c>
      <c r="AA70" s="820" t="s">
        <v>201</v>
      </c>
      <c r="AC70" s="897" t="s">
        <v>317</v>
      </c>
      <c r="AD70" s="776" t="str">
        <f>IF(OR(M37="A7",M37="KU3P"),"0x01100000","0x77601500")</f>
        <v>0x01100000</v>
      </c>
      <c r="AE70" s="861" t="s">
        <v>318</v>
      </c>
      <c r="AF70" s="776" t="s">
        <v>122</v>
      </c>
      <c r="AG70" s="869" t="s">
        <v>319</v>
      </c>
      <c r="AH70" s="870"/>
    </row>
    <row r="71" spans="11:34" ht="60" hidden="1" customHeight="1">
      <c r="K71" s="767" t="s">
        <v>320</v>
      </c>
      <c r="L71" s="768" t="s">
        <v>321</v>
      </c>
      <c r="M71" s="768">
        <v>1</v>
      </c>
      <c r="N71" s="771">
        <f>B8</f>
        <v>1</v>
      </c>
      <c r="O71" s="787" t="s">
        <v>122</v>
      </c>
      <c r="Q71" s="896"/>
      <c r="R71" s="570"/>
      <c r="S71" s="865"/>
      <c r="T71" s="865"/>
      <c r="U71" s="865"/>
      <c r="W71" s="813" t="s">
        <v>322</v>
      </c>
      <c r="X71" s="776" t="s">
        <v>323</v>
      </c>
      <c r="Y71" s="783" t="s">
        <v>324</v>
      </c>
      <c r="Z71" s="898">
        <f>INT(Z70/(N64-Z61))</f>
        <v>6035</v>
      </c>
      <c r="AA71" s="820"/>
      <c r="AC71" s="899" t="s">
        <v>325</v>
      </c>
      <c r="AD71" s="776" t="str">
        <f>IF(OR(M37="A7",M37="KU3P"),"0x01100010","0x7760147C")</f>
        <v>0x01100010</v>
      </c>
      <c r="AE71" s="900" t="s">
        <v>326</v>
      </c>
      <c r="AF71" s="773" t="s">
        <v>327</v>
      </c>
      <c r="AG71" s="904" t="str">
        <f>DEC2HEX(ROUNDUP(T39*Z39/1000,0)-N56/VLOOKUP($M$36,$AC$38:$BE$55,5,FALSE)/VLOOKUP($M$36,$AC$38:$BE$55,6,FALSE))</f>
        <v>7D</v>
      </c>
      <c r="AH71" s="870"/>
    </row>
    <row r="72" spans="11:34" ht="126.75" hidden="1" customHeight="1">
      <c r="K72" s="772" t="s">
        <v>328</v>
      </c>
      <c r="L72" s="773" t="s">
        <v>329</v>
      </c>
      <c r="M72" s="773">
        <v>1</v>
      </c>
      <c r="N72" s="774">
        <f>B9</f>
        <v>1</v>
      </c>
      <c r="O72" s="886" t="s">
        <v>122</v>
      </c>
      <c r="W72" s="813" t="s">
        <v>330</v>
      </c>
      <c r="X72" s="776" t="s">
        <v>331</v>
      </c>
      <c r="Y72" s="783" t="s">
        <v>332</v>
      </c>
      <c r="Z72" s="898">
        <f>Z70-(N64-Z61)*Z71</f>
        <v>3520</v>
      </c>
      <c r="AA72" s="820" t="s">
        <v>201</v>
      </c>
      <c r="AC72" s="897" t="s">
        <v>333</v>
      </c>
      <c r="AD72" s="776" t="s">
        <v>334</v>
      </c>
      <c r="AE72" s="776" t="s">
        <v>335</v>
      </c>
      <c r="AF72" s="776" t="s">
        <v>336</v>
      </c>
      <c r="AG72" s="903" t="str">
        <f>"0x"&amp;DEC2HEX(N64-Z61)</f>
        <v>0x1FC0</v>
      </c>
      <c r="AH72" s="905" t="s">
        <v>337</v>
      </c>
    </row>
    <row r="73" spans="11:34" ht="30" hidden="1" customHeight="1">
      <c r="K73" s="760" t="s">
        <v>338</v>
      </c>
      <c r="L73" s="761"/>
      <c r="M73" s="761"/>
      <c r="N73" s="761"/>
      <c r="O73" s="762"/>
      <c r="W73" s="813" t="s">
        <v>339</v>
      </c>
      <c r="X73" s="776" t="s">
        <v>340</v>
      </c>
      <c r="Y73" s="783" t="s">
        <v>341</v>
      </c>
      <c r="Z73" s="851">
        <f>IF(MOD(Z69,(N64-Z61))=0,0,1)</f>
        <v>1</v>
      </c>
      <c r="AA73" s="820"/>
      <c r="AC73" s="897" t="s">
        <v>342</v>
      </c>
      <c r="AD73" s="776" t="s">
        <v>343</v>
      </c>
      <c r="AE73" s="776" t="s">
        <v>344</v>
      </c>
      <c r="AF73" s="776" t="s">
        <v>345</v>
      </c>
      <c r="AG73" s="903" t="str">
        <f>"0x"&amp;DEC2HEX(T58)</f>
        <v>0x0</v>
      </c>
      <c r="AH73" s="1310" t="s">
        <v>346</v>
      </c>
    </row>
    <row r="74" spans="11:34" ht="99.75" hidden="1" customHeight="1">
      <c r="K74" s="767" t="s">
        <v>347</v>
      </c>
      <c r="L74" s="768" t="s">
        <v>348</v>
      </c>
      <c r="M74" s="768">
        <v>1</v>
      </c>
      <c r="N74" s="771">
        <f>B6</f>
        <v>1</v>
      </c>
      <c r="O74" s="787" t="s">
        <v>122</v>
      </c>
      <c r="W74" s="813" t="s">
        <v>349</v>
      </c>
      <c r="X74" s="776" t="s">
        <v>350</v>
      </c>
      <c r="Y74" s="783" t="s">
        <v>351</v>
      </c>
      <c r="Z74" s="898">
        <f>IF(Z72&lt;Z63,Z63,Z72)</f>
        <v>3520</v>
      </c>
      <c r="AA74" s="820" t="s">
        <v>201</v>
      </c>
      <c r="AC74" s="901" t="s">
        <v>352</v>
      </c>
      <c r="AD74" s="779" t="s">
        <v>353</v>
      </c>
      <c r="AE74" s="779" t="s">
        <v>354</v>
      </c>
      <c r="AF74" s="779" t="s">
        <v>355</v>
      </c>
      <c r="AG74" s="906" t="str">
        <f>"0x"&amp;DEC2HEX(T57)</f>
        <v>0x0</v>
      </c>
      <c r="AH74" s="1311"/>
    </row>
    <row r="75" spans="11:34" ht="30" hidden="1" customHeight="1">
      <c r="K75" s="772" t="s">
        <v>356</v>
      </c>
      <c r="L75" s="773" t="s">
        <v>357</v>
      </c>
      <c r="M75" s="773">
        <v>1</v>
      </c>
      <c r="N75" s="774">
        <f>B7</f>
        <v>1</v>
      </c>
      <c r="O75" s="886" t="s">
        <v>122</v>
      </c>
      <c r="W75" s="813" t="s">
        <v>358</v>
      </c>
      <c r="X75" s="776" t="s">
        <v>359</v>
      </c>
      <c r="Y75" s="783" t="s">
        <v>360</v>
      </c>
      <c r="Z75" s="898">
        <f>Z62+Z61+Z66</f>
        <v>98</v>
      </c>
      <c r="AA75" s="820" t="s">
        <v>201</v>
      </c>
      <c r="AC75" s="897" t="s">
        <v>361</v>
      </c>
      <c r="AD75" s="776" t="s">
        <v>362</v>
      </c>
      <c r="AE75" s="776" t="s">
        <v>363</v>
      </c>
      <c r="AF75" s="779" t="s">
        <v>364</v>
      </c>
      <c r="AG75" s="906" t="str">
        <f>"0x"&amp;DEC2HEX(N46)</f>
        <v>0x0</v>
      </c>
      <c r="AH75" s="907"/>
    </row>
    <row r="76" spans="11:34" ht="30" hidden="1" customHeight="1">
      <c r="K76" s="887" t="s">
        <v>365</v>
      </c>
      <c r="L76" s="888"/>
      <c r="M76" s="888"/>
      <c r="N76" s="888"/>
      <c r="O76" s="889"/>
      <c r="W76" s="813" t="s">
        <v>366</v>
      </c>
      <c r="X76" s="776" t="s">
        <v>367</v>
      </c>
      <c r="Y76" s="783" t="s">
        <v>368</v>
      </c>
      <c r="Z76" s="898">
        <f>Z62+Z61+Z67</f>
        <v>72</v>
      </c>
      <c r="AA76" s="820" t="s">
        <v>201</v>
      </c>
      <c r="AC76" s="897" t="s">
        <v>369</v>
      </c>
      <c r="AD76" s="776" t="s">
        <v>370</v>
      </c>
      <c r="AE76" s="779" t="s">
        <v>371</v>
      </c>
      <c r="AF76" s="779" t="s">
        <v>372</v>
      </c>
      <c r="AG76" s="906" t="str">
        <f>"0x"&amp;IF((N49=1)*(N43="TriggerWidth"),1,0)</f>
        <v>0x0</v>
      </c>
      <c r="AH76" s="908"/>
    </row>
    <row r="77" spans="11:34" ht="30" hidden="1" customHeight="1">
      <c r="K77" s="890" t="s">
        <v>58</v>
      </c>
      <c r="L77" s="1319" t="s">
        <v>373</v>
      </c>
      <c r="M77" s="1319"/>
      <c r="N77" s="1320">
        <f>T41</f>
        <v>24.721878862793574</v>
      </c>
      <c r="O77" s="1321"/>
      <c r="W77" s="813" t="s">
        <v>374</v>
      </c>
      <c r="X77" s="776" t="s">
        <v>375</v>
      </c>
      <c r="Y77" s="783" t="s">
        <v>376</v>
      </c>
      <c r="Z77" s="898">
        <f>Z71*(N64+Z62)+Z73*(Z74+Z62+Z61)</f>
        <v>49430232</v>
      </c>
      <c r="AA77" s="820" t="s">
        <v>201</v>
      </c>
    </row>
    <row r="78" spans="11:34" ht="30" hidden="1" customHeight="1">
      <c r="W78" s="788" t="s">
        <v>377</v>
      </c>
      <c r="X78" s="776" t="s">
        <v>378</v>
      </c>
      <c r="Y78" s="776" t="s">
        <v>379</v>
      </c>
      <c r="Z78" s="902">
        <f>(2+Z73+Z71)*Z83</f>
        <v>120760</v>
      </c>
      <c r="AA78" s="831" t="s">
        <v>201</v>
      </c>
    </row>
    <row r="79" spans="11:34" ht="45" hidden="1" customHeight="1">
      <c r="W79" s="788" t="s">
        <v>380</v>
      </c>
      <c r="X79" s="776" t="s">
        <v>381</v>
      </c>
      <c r="Y79" s="776" t="s">
        <v>382</v>
      </c>
      <c r="Z79" s="814">
        <f>Z75+Z76+Z77+Z78</f>
        <v>49551162</v>
      </c>
      <c r="AA79" s="831" t="s">
        <v>201</v>
      </c>
    </row>
    <row r="80" spans="11:34" ht="45" customHeight="1">
      <c r="S80" s="756"/>
      <c r="W80" s="788" t="s">
        <v>383</v>
      </c>
      <c r="X80" s="776" t="s">
        <v>384</v>
      </c>
      <c r="Y80" s="776" t="s">
        <v>385</v>
      </c>
      <c r="Z80" s="814">
        <f>INT(1000000*N63*(100-N66)/80)</f>
        <v>12250000000</v>
      </c>
      <c r="AA80" s="831" t="s">
        <v>386</v>
      </c>
    </row>
    <row r="81" spans="23:27" ht="45" customHeight="1">
      <c r="W81" s="791" t="s">
        <v>387</v>
      </c>
      <c r="X81" s="781" t="s">
        <v>388</v>
      </c>
      <c r="Y81" s="781" t="s">
        <v>389</v>
      </c>
      <c r="Z81" s="827">
        <f>ROUNDUP(Z79*1000000/Z80,0)*10</f>
        <v>40450</v>
      </c>
      <c r="AA81" s="775" t="s">
        <v>117</v>
      </c>
    </row>
    <row r="82" spans="23:27" ht="60" customHeight="1">
      <c r="W82" s="760" t="s">
        <v>390</v>
      </c>
      <c r="X82" s="761"/>
      <c r="Y82" s="761"/>
      <c r="Z82" s="761"/>
      <c r="AA82" s="762"/>
    </row>
    <row r="83" spans="23:27" ht="78" customHeight="1">
      <c r="W83" s="830" t="s">
        <v>391</v>
      </c>
      <c r="X83" s="391" t="s">
        <v>392</v>
      </c>
      <c r="Y83" s="776" t="s">
        <v>393</v>
      </c>
      <c r="Z83" s="814">
        <f>MAX(ROUNDUP(N65*N63/1000/8,0),Z60+8)</f>
        <v>20</v>
      </c>
      <c r="AA83" s="831" t="s">
        <v>394</v>
      </c>
    </row>
    <row r="84" spans="23:27" ht="45" customHeight="1">
      <c r="W84" s="835" t="s">
        <v>395</v>
      </c>
      <c r="X84" s="289" t="s">
        <v>396</v>
      </c>
      <c r="Y84" s="779" t="s">
        <v>397</v>
      </c>
      <c r="Z84" s="836">
        <f>ROUNDDOWN((Z80-(Z77+Z76+Z75))/(Z71+Z73+2),0)</f>
        <v>2020630</v>
      </c>
      <c r="AA84" s="837" t="s">
        <v>394</v>
      </c>
    </row>
    <row r="86" spans="23:27" ht="45" customHeight="1"/>
    <row r="88" spans="23:27" ht="45" customHeight="1"/>
    <row r="89" spans="23:27" ht="60" customHeight="1"/>
    <row r="111" spans="17:19" ht="30" customHeight="1">
      <c r="Q111" s="892"/>
      <c r="R111" s="1309"/>
      <c r="S111" s="1309"/>
    </row>
    <row r="112" spans="17:19" ht="30" customHeight="1">
      <c r="Q112" s="892"/>
      <c r="R112" s="892"/>
      <c r="S112" s="892"/>
    </row>
    <row r="113" spans="11:19" ht="30" customHeight="1">
      <c r="Q113" s="892"/>
      <c r="R113" s="892"/>
      <c r="S113" s="892"/>
    </row>
    <row r="114" spans="11:19" ht="30" customHeight="1">
      <c r="Q114" s="892"/>
      <c r="R114" s="892"/>
      <c r="S114" s="892"/>
    </row>
    <row r="115" spans="11:19" ht="30" customHeight="1">
      <c r="Q115" s="892"/>
      <c r="R115" s="892"/>
      <c r="S115" s="892"/>
    </row>
    <row r="116" spans="11:19" ht="30" customHeight="1">
      <c r="Q116" s="892"/>
      <c r="R116" s="1309"/>
      <c r="S116" s="1309"/>
    </row>
    <row r="117" spans="11:19" ht="30" customHeight="1">
      <c r="P117" s="891"/>
      <c r="Q117" s="892"/>
      <c r="R117" s="892"/>
      <c r="S117" s="892"/>
    </row>
    <row r="118" spans="11:19" ht="30" customHeight="1">
      <c r="K118" s="892"/>
      <c r="L118" s="892"/>
      <c r="M118" s="892"/>
      <c r="N118" s="892"/>
      <c r="P118" s="892"/>
      <c r="Q118" s="892"/>
      <c r="R118" s="892"/>
      <c r="S118" s="892"/>
    </row>
    <row r="119" spans="11:19" ht="30" customHeight="1">
      <c r="K119" s="892"/>
      <c r="L119" s="892"/>
      <c r="M119" s="892"/>
      <c r="N119" s="892"/>
      <c r="P119" s="892"/>
      <c r="Q119" s="892"/>
      <c r="R119" s="892"/>
      <c r="S119" s="892"/>
    </row>
    <row r="120" spans="11:19" ht="30" customHeight="1">
      <c r="K120" s="892"/>
      <c r="L120" s="892"/>
      <c r="M120" s="892"/>
      <c r="N120" s="892"/>
      <c r="P120" s="892"/>
      <c r="Q120" s="892"/>
      <c r="R120" s="892"/>
      <c r="S120" s="892"/>
    </row>
    <row r="121" spans="11:19" ht="30" customHeight="1">
      <c r="K121" s="892"/>
      <c r="L121" s="892"/>
      <c r="M121" s="892"/>
      <c r="N121" s="892"/>
      <c r="O121" s="891"/>
      <c r="P121" s="892"/>
      <c r="Q121" s="892"/>
      <c r="R121" s="1309"/>
      <c r="S121" s="1309"/>
    </row>
    <row r="122" spans="11:19" ht="30" customHeight="1">
      <c r="K122" s="892"/>
      <c r="L122" s="892"/>
      <c r="M122" s="892"/>
      <c r="N122" s="892"/>
      <c r="O122" s="892"/>
      <c r="P122" s="892"/>
      <c r="Q122" s="892"/>
      <c r="R122" s="892"/>
      <c r="S122" s="892"/>
    </row>
    <row r="123" spans="11:19" ht="30" customHeight="1">
      <c r="K123" s="892"/>
      <c r="L123" s="892"/>
      <c r="M123" s="892"/>
      <c r="N123" s="892"/>
      <c r="O123" s="892"/>
      <c r="P123" s="892"/>
      <c r="Q123" s="892"/>
      <c r="R123" s="892"/>
      <c r="S123" s="892"/>
    </row>
    <row r="124" spans="11:19" ht="30" customHeight="1">
      <c r="K124" s="892"/>
      <c r="L124" s="892"/>
      <c r="M124" s="892"/>
      <c r="N124" s="892"/>
      <c r="O124" s="892"/>
      <c r="P124" s="892"/>
      <c r="Q124" s="892"/>
      <c r="R124" s="892"/>
      <c r="S124" s="892"/>
    </row>
    <row r="125" spans="11:19" ht="30" customHeight="1">
      <c r="K125" s="891"/>
      <c r="L125" s="891"/>
      <c r="M125" s="892"/>
      <c r="N125" s="892"/>
      <c r="O125" s="892"/>
      <c r="P125" s="892"/>
      <c r="Q125" s="892"/>
      <c r="R125" s="892"/>
      <c r="S125" s="892"/>
    </row>
    <row r="126" spans="11:19" ht="30" customHeight="1">
      <c r="K126" s="892"/>
      <c r="L126" s="891"/>
      <c r="M126" s="892"/>
      <c r="N126" s="892"/>
      <c r="O126" s="892"/>
      <c r="P126" s="892"/>
      <c r="Q126" s="892"/>
      <c r="R126" s="892"/>
      <c r="S126" s="892"/>
    </row>
    <row r="127" spans="11:19" ht="30" customHeight="1">
      <c r="K127" s="892"/>
      <c r="L127" s="891"/>
      <c r="M127" s="892"/>
      <c r="N127" s="892"/>
      <c r="O127" s="892"/>
      <c r="P127" s="892"/>
      <c r="Q127" s="892"/>
      <c r="R127" s="892"/>
      <c r="S127" s="892"/>
    </row>
    <row r="128" spans="11:19" ht="30" customHeight="1">
      <c r="K128" s="892"/>
      <c r="L128" s="892"/>
      <c r="M128" s="892"/>
      <c r="N128" s="892"/>
      <c r="O128" s="892"/>
      <c r="P128" s="892"/>
      <c r="Q128" s="892"/>
      <c r="R128" s="892"/>
      <c r="S128" s="892"/>
    </row>
    <row r="129" spans="11:19" ht="30" customHeight="1">
      <c r="K129" s="892"/>
      <c r="L129" s="892"/>
      <c r="M129" s="892"/>
      <c r="N129" s="892"/>
      <c r="O129" s="892"/>
      <c r="P129" s="892"/>
      <c r="Q129" s="892"/>
      <c r="R129" s="892"/>
      <c r="S129" s="892"/>
    </row>
    <row r="130" spans="11:19" ht="30" customHeight="1">
      <c r="K130" s="892"/>
      <c r="L130" s="892"/>
      <c r="M130" s="892"/>
      <c r="N130" s="892"/>
      <c r="O130" s="892"/>
      <c r="P130" s="892"/>
      <c r="Q130" s="892"/>
      <c r="R130" s="892"/>
      <c r="S130" s="892"/>
    </row>
    <row r="131" spans="11:19" ht="30" customHeight="1">
      <c r="K131" s="892"/>
      <c r="L131" s="892"/>
      <c r="M131" s="892"/>
      <c r="N131" s="892"/>
      <c r="O131" s="892"/>
      <c r="P131" s="892"/>
      <c r="Q131" s="892"/>
      <c r="R131" s="892"/>
      <c r="S131" s="892"/>
    </row>
    <row r="132" spans="11:19" ht="30" customHeight="1">
      <c r="K132" s="892"/>
      <c r="L132" s="892"/>
      <c r="M132" s="892"/>
      <c r="N132" s="892"/>
      <c r="O132" s="892"/>
      <c r="P132" s="892"/>
      <c r="Q132" s="892"/>
      <c r="R132" s="892"/>
      <c r="S132" s="892"/>
    </row>
    <row r="133" spans="11:19" ht="30" customHeight="1">
      <c r="K133" s="892"/>
      <c r="L133" s="892"/>
      <c r="M133" s="892"/>
      <c r="N133" s="892"/>
      <c r="O133" s="892"/>
      <c r="P133" s="892"/>
      <c r="Q133" s="892"/>
      <c r="R133" s="892"/>
      <c r="S133" s="892"/>
    </row>
    <row r="134" spans="11:19" ht="30" customHeight="1">
      <c r="K134" s="892"/>
      <c r="L134" s="892"/>
      <c r="M134" s="892"/>
      <c r="N134" s="892"/>
      <c r="O134" s="892"/>
      <c r="P134" s="892"/>
      <c r="Q134" s="892"/>
      <c r="R134" s="892"/>
      <c r="S134" s="892"/>
    </row>
    <row r="135" spans="11:19" ht="30" customHeight="1">
      <c r="K135" s="892"/>
      <c r="L135" s="892"/>
      <c r="M135" s="892"/>
      <c r="N135" s="892"/>
      <c r="O135" s="892"/>
      <c r="P135" s="892"/>
      <c r="Q135" s="892"/>
      <c r="R135" s="892"/>
      <c r="S135" s="892"/>
    </row>
    <row r="136" spans="11:19" ht="30" customHeight="1">
      <c r="K136" s="892"/>
      <c r="L136" s="892"/>
      <c r="M136" s="892"/>
      <c r="N136" s="892"/>
      <c r="O136" s="892"/>
      <c r="P136" s="892"/>
    </row>
    <row r="137" spans="11:19" ht="30" customHeight="1">
      <c r="K137" s="892"/>
      <c r="L137" s="892"/>
      <c r="M137" s="892"/>
      <c r="N137" s="892"/>
      <c r="O137" s="892"/>
      <c r="P137" s="892"/>
    </row>
    <row r="138" spans="11:19" ht="30" customHeight="1">
      <c r="K138" s="892"/>
      <c r="L138" s="892"/>
      <c r="M138" s="892"/>
      <c r="N138" s="892"/>
      <c r="O138" s="892"/>
      <c r="P138" s="892"/>
    </row>
    <row r="139" spans="11:19" ht="30" customHeight="1">
      <c r="K139" s="892"/>
      <c r="L139" s="892"/>
      <c r="M139" s="892"/>
      <c r="N139" s="892"/>
      <c r="O139" s="892"/>
      <c r="P139" s="892"/>
    </row>
    <row r="140" spans="11:19" ht="30" customHeight="1">
      <c r="K140" s="892"/>
      <c r="L140" s="892"/>
      <c r="M140" s="892"/>
      <c r="N140" s="892"/>
      <c r="O140" s="892"/>
      <c r="P140" s="892"/>
    </row>
    <row r="141" spans="11:19" ht="30" customHeight="1">
      <c r="K141" s="892"/>
      <c r="L141" s="892"/>
      <c r="M141" s="892"/>
      <c r="N141" s="892"/>
      <c r="O141" s="892"/>
      <c r="P141" s="892"/>
    </row>
    <row r="142" spans="11:19" ht="30" customHeight="1">
      <c r="K142" s="892"/>
      <c r="L142" s="892"/>
      <c r="M142" s="892"/>
      <c r="N142" s="892"/>
      <c r="O142" s="892"/>
    </row>
    <row r="143" spans="11:19" ht="30" customHeight="1">
      <c r="O143" s="892"/>
    </row>
    <row r="144" spans="11:19" ht="30" customHeight="1">
      <c r="O144" s="892"/>
    </row>
    <row r="145" spans="15:15" ht="30" customHeight="1">
      <c r="O145" s="892"/>
    </row>
  </sheetData>
  <sheetProtection algorithmName="SHA-512" hashValue="P1uD/zqaChs3D+zGoFZUMda9gyrzQB8AwgSzR7PqmG8sMyKosV0Tz0iwx696+mq7tauLB6vgZ+DZtzJgNkM35Q==" saltValue="ZU5wj1cDE9WAM+3UPwk0Qg==" spinCount="100000" sheet="1" objects="1" scenarios="1" selectLockedCells="1"/>
  <mergeCells count="25">
    <mergeCell ref="R111:S111"/>
    <mergeCell ref="R116:S116"/>
    <mergeCell ref="R121:S121"/>
    <mergeCell ref="AH73:AH74"/>
    <mergeCell ref="K48:O48"/>
    <mergeCell ref="AC61:AH61"/>
    <mergeCell ref="Q70:U70"/>
    <mergeCell ref="L77:M77"/>
    <mergeCell ref="N77:O77"/>
    <mergeCell ref="K38:O38"/>
    <mergeCell ref="K40:O40"/>
    <mergeCell ref="K42:O42"/>
    <mergeCell ref="Q42:U42"/>
    <mergeCell ref="Q47:U47"/>
    <mergeCell ref="A32:B32"/>
    <mergeCell ref="Q36:U36"/>
    <mergeCell ref="W36:AA36"/>
    <mergeCell ref="AC36:BF36"/>
    <mergeCell ref="Q37:U37"/>
    <mergeCell ref="W37:AA37"/>
    <mergeCell ref="A27:B27"/>
    <mergeCell ref="A28:B28"/>
    <mergeCell ref="A29:B29"/>
    <mergeCell ref="A30:B30"/>
    <mergeCell ref="A31:B31"/>
  </mergeCells>
  <phoneticPr fontId="36" type="noConversion"/>
  <dataValidations count="51">
    <dataValidation type="custom" allowBlank="1" showInputMessage="1" showErrorMessage="1" errorTitle="输入数值非法" error="Input range:[2,'HeightMax'],and is an integer multiple of 2" sqref="B5">
      <formula1>AND((B5&lt;=B3),(B5&gt;=2),(MOD(B5,2)=0))</formula1>
    </dataValidation>
    <dataValidation type="whole" allowBlank="1" showInputMessage="1" showErrorMessage="1" error="设置值范围为0~包间隔最大值" sqref="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C65553 IY65553 SU65553 ACQ65553 AMM65553 AWI65553 BGE65553 BQA65553 BZW65553 CJS65553 CTO65553 DDK65553 DNG65553 DXC65553 EGY65553 EQU65553 FAQ65553 FKM65553 FUI65553 GEE65553 GOA65553 GXW65553 HHS65553 HRO65553 IBK65553 ILG65553 IVC65553 JEY65553 JOU65553 JYQ65553 KIM65553 KSI65553 LCE65553 LMA65553 LVW65553 MFS65553 MPO65553 MZK65553 NJG65553 NTC65553 OCY65553 OMU65553 OWQ65553 PGM65553 PQI65553 QAE65553 QKA65553 QTW65553 RDS65553 RNO65553 RXK65553 SHG65553 SRC65553 TAY65553 TKU65553 TUQ65553 UEM65553 UOI65553 UYE65553 VIA65553 VRW65553 WBS65553 WLO65553 WVK65553 C131089 IY131089 SU131089 ACQ131089 AMM131089 AWI131089 BGE131089 BQA131089 BZW131089 CJS131089 CTO131089 DDK131089 DNG131089 DXC131089 EGY131089 EQU131089 FAQ131089 FKM131089 FUI131089 GEE131089 GOA131089 GXW131089 HHS131089 HRO131089 IBK131089 ILG131089 IVC131089 JEY131089 JOU131089 JYQ131089 KIM131089 KSI131089 LCE131089 LMA131089 LVW131089 MFS131089 MPO131089 MZK131089 NJG131089 NTC131089 OCY131089 OMU131089 OWQ131089 PGM131089 PQI131089 QAE131089 QKA131089 QTW131089 RDS131089 RNO131089 RXK131089 SHG131089 SRC131089 TAY131089 TKU131089 TUQ131089 UEM131089 UOI131089 UYE131089 VIA131089 VRW131089 WBS131089 WLO131089 WVK131089 C196625 IY196625 SU196625 ACQ196625 AMM196625 AWI196625 BGE196625 BQA196625 BZW196625 CJS196625 CTO196625 DDK196625 DNG196625 DXC196625 EGY196625 EQU196625 FAQ196625 FKM196625 FUI196625 GEE196625 GOA196625 GXW196625 HHS196625 HRO196625 IBK196625 ILG196625 IVC196625 JEY196625 JOU196625 JYQ196625 KIM196625 KSI196625 LCE196625 LMA196625 LVW196625 MFS196625 MPO196625 MZK196625 NJG196625 NTC196625 OCY196625 OMU196625 OWQ196625 PGM196625 PQI196625 QAE196625 QKA196625 QTW196625 RDS196625 RNO196625 RXK196625 SHG196625 SRC196625 TAY196625 TKU196625 TUQ196625 UEM196625 UOI196625 UYE196625 VIA196625 VRW196625 WBS196625 WLO196625 WVK196625 C262161 IY262161 SU262161 ACQ262161 AMM262161 AWI262161 BGE262161 BQA262161 BZW262161 CJS262161 CTO262161 DDK262161 DNG262161 DXC262161 EGY262161 EQU262161 FAQ262161 FKM262161 FUI262161 GEE262161 GOA262161 GXW262161 HHS262161 HRO262161 IBK262161 ILG262161 IVC262161 JEY262161 JOU262161 JYQ262161 KIM262161 KSI262161 LCE262161 LMA262161 LVW262161 MFS262161 MPO262161 MZK262161 NJG262161 NTC262161 OCY262161 OMU262161 OWQ262161 PGM262161 PQI262161 QAE262161 QKA262161 QTW262161 RDS262161 RNO262161 RXK262161 SHG262161 SRC262161 TAY262161 TKU262161 TUQ262161 UEM262161 UOI262161 UYE262161 VIA262161 VRW262161 WBS262161 WLO262161 WVK262161 C327697 IY327697 SU327697 ACQ327697 AMM327697 AWI327697 BGE327697 BQA327697 BZW327697 CJS327697 CTO327697 DDK327697 DNG327697 DXC327697 EGY327697 EQU327697 FAQ327697 FKM327697 FUI327697 GEE327697 GOA327697 GXW327697 HHS327697 HRO327697 IBK327697 ILG327697 IVC327697 JEY327697 JOU327697 JYQ327697 KIM327697 KSI327697 LCE327697 LMA327697 LVW327697 MFS327697 MPO327697 MZK327697 NJG327697 NTC327697 OCY327697 OMU327697 OWQ327697 PGM327697 PQI327697 QAE327697 QKA327697 QTW327697 RDS327697 RNO327697 RXK327697 SHG327697 SRC327697 TAY327697 TKU327697 TUQ327697 UEM327697 UOI327697 UYE327697 VIA327697 VRW327697 WBS327697 WLO327697 WVK327697 C393233 IY393233 SU393233 ACQ393233 AMM393233 AWI393233 BGE393233 BQA393233 BZW393233 CJS393233 CTO393233 DDK393233 DNG393233 DXC393233 EGY393233 EQU393233 FAQ393233 FKM393233 FUI393233 GEE393233 GOA393233 GXW393233 HHS393233 HRO393233 IBK393233 ILG393233 IVC393233 JEY393233 JOU393233 JYQ393233 KIM393233 KSI393233 LCE393233 LMA393233 LVW393233 MFS393233 MPO393233 MZK393233 NJG393233 NTC393233 OCY393233 OMU393233 OWQ393233 PGM393233 PQI393233 QAE393233 QKA393233 QTW393233 RDS393233 RNO393233 RXK393233 SHG393233 SRC393233 TAY393233 TKU393233 TUQ393233 UEM393233 UOI393233 UYE393233 VIA393233 VRW393233 WBS393233 WLO393233 WVK393233 C458769 IY458769 SU458769 ACQ458769 AMM458769 AWI458769 BGE458769 BQA458769 BZW458769 CJS458769 CTO458769 DDK458769 DNG458769 DXC458769 EGY458769 EQU458769 FAQ458769 FKM458769 FUI458769 GEE458769 GOA458769 GXW458769 HHS458769 HRO458769 IBK458769 ILG458769 IVC458769 JEY458769 JOU458769 JYQ458769 KIM458769 KSI458769 LCE458769 LMA458769 LVW458769 MFS458769 MPO458769 MZK458769 NJG458769 NTC458769 OCY458769 OMU458769 OWQ458769 PGM458769 PQI458769 QAE458769 QKA458769 QTW458769 RDS458769 RNO458769 RXK458769 SHG458769 SRC458769 TAY458769 TKU458769 TUQ458769 UEM458769 UOI458769 UYE458769 VIA458769 VRW458769 WBS458769 WLO458769 WVK458769 C524305 IY524305 SU524305 ACQ524305 AMM524305 AWI524305 BGE524305 BQA524305 BZW524305 CJS524305 CTO524305 DDK524305 DNG524305 DXC524305 EGY524305 EQU524305 FAQ524305 FKM524305 FUI524305 GEE524305 GOA524305 GXW524305 HHS524305 HRO524305 IBK524305 ILG524305 IVC524305 JEY524305 JOU524305 JYQ524305 KIM524305 KSI524305 LCE524305 LMA524305 LVW524305 MFS524305 MPO524305 MZK524305 NJG524305 NTC524305 OCY524305 OMU524305 OWQ524305 PGM524305 PQI524305 QAE524305 QKA524305 QTW524305 RDS524305 RNO524305 RXK524305 SHG524305 SRC524305 TAY524305 TKU524305 TUQ524305 UEM524305 UOI524305 UYE524305 VIA524305 VRW524305 WBS524305 WLO524305 WVK524305 C589841 IY589841 SU589841 ACQ589841 AMM589841 AWI589841 BGE589841 BQA589841 BZW589841 CJS589841 CTO589841 DDK589841 DNG589841 DXC589841 EGY589841 EQU589841 FAQ589841 FKM589841 FUI589841 GEE589841 GOA589841 GXW589841 HHS589841 HRO589841 IBK589841 ILG589841 IVC589841 JEY589841 JOU589841 JYQ589841 KIM589841 KSI589841 LCE589841 LMA589841 LVW589841 MFS589841 MPO589841 MZK589841 NJG589841 NTC589841 OCY589841 OMU589841 OWQ589841 PGM589841 PQI589841 QAE589841 QKA589841 QTW589841 RDS589841 RNO589841 RXK589841 SHG589841 SRC589841 TAY589841 TKU589841 TUQ589841 UEM589841 UOI589841 UYE589841 VIA589841 VRW589841 WBS589841 WLO589841 WVK589841 C655377 IY655377 SU655377 ACQ655377 AMM655377 AWI655377 BGE655377 BQA655377 BZW655377 CJS655377 CTO655377 DDK655377 DNG655377 DXC655377 EGY655377 EQU655377 FAQ655377 FKM655377 FUI655377 GEE655377 GOA655377 GXW655377 HHS655377 HRO655377 IBK655377 ILG655377 IVC655377 JEY655377 JOU655377 JYQ655377 KIM655377 KSI655377 LCE655377 LMA655377 LVW655377 MFS655377 MPO655377 MZK655377 NJG655377 NTC655377 OCY655377 OMU655377 OWQ655377 PGM655377 PQI655377 QAE655377 QKA655377 QTW655377 RDS655377 RNO655377 RXK655377 SHG655377 SRC655377 TAY655377 TKU655377 TUQ655377 UEM655377 UOI655377 UYE655377 VIA655377 VRW655377 WBS655377 WLO655377 WVK655377 C720913 IY720913 SU720913 ACQ720913 AMM720913 AWI720913 BGE720913 BQA720913 BZW720913 CJS720913 CTO720913 DDK720913 DNG720913 DXC720913 EGY720913 EQU720913 FAQ720913 FKM720913 FUI720913 GEE720913 GOA720913 GXW720913 HHS720913 HRO720913 IBK720913 ILG720913 IVC720913 JEY720913 JOU720913 JYQ720913 KIM720913 KSI720913 LCE720913 LMA720913 LVW720913 MFS720913 MPO720913 MZK720913 NJG720913 NTC720913 OCY720913 OMU720913 OWQ720913 PGM720913 PQI720913 QAE720913 QKA720913 QTW720913 RDS720913 RNO720913 RXK720913 SHG720913 SRC720913 TAY720913 TKU720913 TUQ720913 UEM720913 UOI720913 UYE720913 VIA720913 VRW720913 WBS720913 WLO720913 WVK720913 C786449 IY786449 SU786449 ACQ786449 AMM786449 AWI786449 BGE786449 BQA786449 BZW786449 CJS786449 CTO786449 DDK786449 DNG786449 DXC786449 EGY786449 EQU786449 FAQ786449 FKM786449 FUI786449 GEE786449 GOA786449 GXW786449 HHS786449 HRO786449 IBK786449 ILG786449 IVC786449 JEY786449 JOU786449 JYQ786449 KIM786449 KSI786449 LCE786449 LMA786449 LVW786449 MFS786449 MPO786449 MZK786449 NJG786449 NTC786449 OCY786449 OMU786449 OWQ786449 PGM786449 PQI786449 QAE786449 QKA786449 QTW786449 RDS786449 RNO786449 RXK786449 SHG786449 SRC786449 TAY786449 TKU786449 TUQ786449 UEM786449 UOI786449 UYE786449 VIA786449 VRW786449 WBS786449 WLO786449 WVK786449 C851985 IY851985 SU851985 ACQ851985 AMM851985 AWI851985 BGE851985 BQA851985 BZW851985 CJS851985 CTO851985 DDK851985 DNG851985 DXC851985 EGY851985 EQU851985 FAQ851985 FKM851985 FUI851985 GEE851985 GOA851985 GXW851985 HHS851985 HRO851985 IBK851985 ILG851985 IVC851985 JEY851985 JOU851985 JYQ851985 KIM851985 KSI851985 LCE851985 LMA851985 LVW851985 MFS851985 MPO851985 MZK851985 NJG851985 NTC851985 OCY851985 OMU851985 OWQ851985 PGM851985 PQI851985 QAE851985 QKA851985 QTW851985 RDS851985 RNO851985 RXK851985 SHG851985 SRC851985 TAY851985 TKU851985 TUQ851985 UEM851985 UOI851985 UYE851985 VIA851985 VRW851985 WBS851985 WLO851985 WVK851985 C917521 IY917521 SU917521 ACQ917521 AMM917521 AWI917521 BGE917521 BQA917521 BZW917521 CJS917521 CTO917521 DDK917521 DNG917521 DXC917521 EGY917521 EQU917521 FAQ917521 FKM917521 FUI917521 GEE917521 GOA917521 GXW917521 HHS917521 HRO917521 IBK917521 ILG917521 IVC917521 JEY917521 JOU917521 JYQ917521 KIM917521 KSI917521 LCE917521 LMA917521 LVW917521 MFS917521 MPO917521 MZK917521 NJG917521 NTC917521 OCY917521 OMU917521 OWQ917521 PGM917521 PQI917521 QAE917521 QKA917521 QTW917521 RDS917521 RNO917521 RXK917521 SHG917521 SRC917521 TAY917521 TKU917521 TUQ917521 UEM917521 UOI917521 UYE917521 VIA917521 VRW917521 WBS917521 WLO917521 WVK917521 C983057 IY983057 SU983057 ACQ983057 AMM983057 AWI983057 BGE983057 BQA983057 BZW983057 CJS983057 CTO983057 DDK983057 DNG983057 DXC983057 EGY983057 EQU983057 FAQ983057 FKM983057 FUI983057 GEE983057 GOA983057 GXW983057 HHS983057 HRO983057 IBK983057 ILG983057 IVC983057 JEY983057 JOU983057 JYQ983057 KIM983057 KSI983057 LCE983057 LMA983057 LVW983057 MFS983057 MPO983057 MZK983057 NJG983057 NTC983057 OCY983057 OMU983057 OWQ983057 PGM983057 PQI983057 QAE983057 QKA983057 QTW983057 RDS983057 RNO983057 RXK983057 SHG983057 SRC983057 TAY983057 TKU983057 TUQ983057 UEM983057 UOI983057 UYE983057 VIA983057 VRW983057 WBS983057 WLO983057 WVK983057">
      <formula1>0</formula1>
      <formula2>C18</formula2>
    </dataValidation>
    <dataValidation type="whole" allowBlank="1" showInputMessage="1" showErrorMessage="1" error="Set the value range:[ 0,'GevSCPDMaxValue']" sqref="B17">
      <formula1>0</formula1>
      <formula2>B18</formula2>
    </dataValidation>
    <dataValidation allowBlank="1" showInputMessage="1" showErrorMessage="1" error="输入范围是64~1024，步长为2" sqref="A1:B1 IV1:IX1 SR1:ST1 ACN1:ACP1 AMJ1:AML1 AWF1:AWH1 BGB1:BGD1 BPX1:BPZ1 BZT1:BZV1 CJP1:CJR1 CTL1:CTN1 DDH1:DDJ1 DND1:DNF1 DWZ1:DXB1 EGV1:EGX1 EQR1:EQT1 FAN1:FAP1 FKJ1:FKL1 FUF1:FUH1 GEB1:GED1 GNX1:GNZ1 GXT1:GXV1 HHP1:HHR1 HRL1:HRN1 IBH1:IBJ1 ILD1:ILF1 IUZ1:IVB1 JEV1:JEX1 JOR1:JOT1 JYN1:JYP1 KIJ1:KIL1 KSF1:KSH1 LCB1:LCD1 LLX1:LLZ1 LVT1:LVV1 MFP1:MFR1 MPL1:MPN1 MZH1:MZJ1 NJD1:NJF1 NSZ1:NTB1 OCV1:OCX1 OMR1:OMT1 OWN1:OWP1 PGJ1:PGL1 PQF1:PQH1 QAB1:QAD1 QJX1:QJZ1 QTT1:QTV1 RDP1:RDR1 RNL1:RNN1 RXH1:RXJ1 SHD1:SHF1 SQZ1:SRB1 TAV1:TAX1 TKR1:TKT1 TUN1:TUP1 UEJ1:UEL1 UOF1:UOH1 UYB1:UYD1 VHX1:VHZ1 VRT1:VRV1 WBP1:WBR1 WLL1:WLN1 WVH1:WVJ1 A65537:C65537 IW65537:IY65537 SS65537:SU65537 ACO65537:ACQ65537 AMK65537:AMM65537 AWG65537:AWI65537 BGC65537:BGE65537 BPY65537:BQA65537 BZU65537:BZW65537 CJQ65537:CJS65537 CTM65537:CTO65537 DDI65537:DDK65537 DNE65537:DNG65537 DXA65537:DXC65537 EGW65537:EGY65537 EQS65537:EQU65537 FAO65537:FAQ65537 FKK65537:FKM65537 FUG65537:FUI65537 GEC65537:GEE65537 GNY65537:GOA65537 GXU65537:GXW65537 HHQ65537:HHS65537 HRM65537:HRO65537 IBI65537:IBK65537 ILE65537:ILG65537 IVA65537:IVC65537 JEW65537:JEY65537 JOS65537:JOU65537 JYO65537:JYQ65537 KIK65537:KIM65537 KSG65537:KSI65537 LCC65537:LCE65537 LLY65537:LMA65537 LVU65537:LVW65537 MFQ65537:MFS65537 MPM65537:MPO65537 MZI65537:MZK65537 NJE65537:NJG65537 NTA65537:NTC65537 OCW65537:OCY65537 OMS65537:OMU65537 OWO65537:OWQ65537 PGK65537:PGM65537 PQG65537:PQI65537 QAC65537:QAE65537 QJY65537:QKA65537 QTU65537:QTW65537 RDQ65537:RDS65537 RNM65537:RNO65537 RXI65537:RXK65537 SHE65537:SHG65537 SRA65537:SRC65537 TAW65537:TAY65537 TKS65537:TKU65537 TUO65537:TUQ65537 UEK65537:UEM65537 UOG65537:UOI65537 UYC65537:UYE65537 VHY65537:VIA65537 VRU65537:VRW65537 WBQ65537:WBS65537 WLM65537:WLO65537 WVI65537:WVK65537 A131073:C131073 IW131073:IY131073 SS131073:SU131073 ACO131073:ACQ131073 AMK131073:AMM131073 AWG131073:AWI131073 BGC131073:BGE131073 BPY131073:BQA131073 BZU131073:BZW131073 CJQ131073:CJS131073 CTM131073:CTO131073 DDI131073:DDK131073 DNE131073:DNG131073 DXA131073:DXC131073 EGW131073:EGY131073 EQS131073:EQU131073 FAO131073:FAQ131073 FKK131073:FKM131073 FUG131073:FUI131073 GEC131073:GEE131073 GNY131073:GOA131073 GXU131073:GXW131073 HHQ131073:HHS131073 HRM131073:HRO131073 IBI131073:IBK131073 ILE131073:ILG131073 IVA131073:IVC131073 JEW131073:JEY131073 JOS131073:JOU131073 JYO131073:JYQ131073 KIK131073:KIM131073 KSG131073:KSI131073 LCC131073:LCE131073 LLY131073:LMA131073 LVU131073:LVW131073 MFQ131073:MFS131073 MPM131073:MPO131073 MZI131073:MZK131073 NJE131073:NJG131073 NTA131073:NTC131073 OCW131073:OCY131073 OMS131073:OMU131073 OWO131073:OWQ131073 PGK131073:PGM131073 PQG131073:PQI131073 QAC131073:QAE131073 QJY131073:QKA131073 QTU131073:QTW131073 RDQ131073:RDS131073 RNM131073:RNO131073 RXI131073:RXK131073 SHE131073:SHG131073 SRA131073:SRC131073 TAW131073:TAY131073 TKS131073:TKU131073 TUO131073:TUQ131073 UEK131073:UEM131073 UOG131073:UOI131073 UYC131073:UYE131073 VHY131073:VIA131073 VRU131073:VRW131073 WBQ131073:WBS131073 WLM131073:WLO131073 WVI131073:WVK131073 A196609:C196609 IW196609:IY196609 SS196609:SU196609 ACO196609:ACQ196609 AMK196609:AMM196609 AWG196609:AWI196609 BGC196609:BGE196609 BPY196609:BQA196609 BZU196609:BZW196609 CJQ196609:CJS196609 CTM196609:CTO196609 DDI196609:DDK196609 DNE196609:DNG196609 DXA196609:DXC196609 EGW196609:EGY196609 EQS196609:EQU196609 FAO196609:FAQ196609 FKK196609:FKM196609 FUG196609:FUI196609 GEC196609:GEE196609 GNY196609:GOA196609 GXU196609:GXW196609 HHQ196609:HHS196609 HRM196609:HRO196609 IBI196609:IBK196609 ILE196609:ILG196609 IVA196609:IVC196609 JEW196609:JEY196609 JOS196609:JOU196609 JYO196609:JYQ196609 KIK196609:KIM196609 KSG196609:KSI196609 LCC196609:LCE196609 LLY196609:LMA196609 LVU196609:LVW196609 MFQ196609:MFS196609 MPM196609:MPO196609 MZI196609:MZK196609 NJE196609:NJG196609 NTA196609:NTC196609 OCW196609:OCY196609 OMS196609:OMU196609 OWO196609:OWQ196609 PGK196609:PGM196609 PQG196609:PQI196609 QAC196609:QAE196609 QJY196609:QKA196609 QTU196609:QTW196609 RDQ196609:RDS196609 RNM196609:RNO196609 RXI196609:RXK196609 SHE196609:SHG196609 SRA196609:SRC196609 TAW196609:TAY196609 TKS196609:TKU196609 TUO196609:TUQ196609 UEK196609:UEM196609 UOG196609:UOI196609 UYC196609:UYE196609 VHY196609:VIA196609 VRU196609:VRW196609 WBQ196609:WBS196609 WLM196609:WLO196609 WVI196609:WVK196609 A262145:C262145 IW262145:IY262145 SS262145:SU262145 ACO262145:ACQ262145 AMK262145:AMM262145 AWG262145:AWI262145 BGC262145:BGE262145 BPY262145:BQA262145 BZU262145:BZW262145 CJQ262145:CJS262145 CTM262145:CTO262145 DDI262145:DDK262145 DNE262145:DNG262145 DXA262145:DXC262145 EGW262145:EGY262145 EQS262145:EQU262145 FAO262145:FAQ262145 FKK262145:FKM262145 FUG262145:FUI262145 GEC262145:GEE262145 GNY262145:GOA262145 GXU262145:GXW262145 HHQ262145:HHS262145 HRM262145:HRO262145 IBI262145:IBK262145 ILE262145:ILG262145 IVA262145:IVC262145 JEW262145:JEY262145 JOS262145:JOU262145 JYO262145:JYQ262145 KIK262145:KIM262145 KSG262145:KSI262145 LCC262145:LCE262145 LLY262145:LMA262145 LVU262145:LVW262145 MFQ262145:MFS262145 MPM262145:MPO262145 MZI262145:MZK262145 NJE262145:NJG262145 NTA262145:NTC262145 OCW262145:OCY262145 OMS262145:OMU262145 OWO262145:OWQ262145 PGK262145:PGM262145 PQG262145:PQI262145 QAC262145:QAE262145 QJY262145:QKA262145 QTU262145:QTW262145 RDQ262145:RDS262145 RNM262145:RNO262145 RXI262145:RXK262145 SHE262145:SHG262145 SRA262145:SRC262145 TAW262145:TAY262145 TKS262145:TKU262145 TUO262145:TUQ262145 UEK262145:UEM262145 UOG262145:UOI262145 UYC262145:UYE262145 VHY262145:VIA262145 VRU262145:VRW262145 WBQ262145:WBS262145 WLM262145:WLO262145 WVI262145:WVK262145 A327681:C327681 IW327681:IY327681 SS327681:SU327681 ACO327681:ACQ327681 AMK327681:AMM327681 AWG327681:AWI327681 BGC327681:BGE327681 BPY327681:BQA327681 BZU327681:BZW327681 CJQ327681:CJS327681 CTM327681:CTO327681 DDI327681:DDK327681 DNE327681:DNG327681 DXA327681:DXC327681 EGW327681:EGY327681 EQS327681:EQU327681 FAO327681:FAQ327681 FKK327681:FKM327681 FUG327681:FUI327681 GEC327681:GEE327681 GNY327681:GOA327681 GXU327681:GXW327681 HHQ327681:HHS327681 HRM327681:HRO327681 IBI327681:IBK327681 ILE327681:ILG327681 IVA327681:IVC327681 JEW327681:JEY327681 JOS327681:JOU327681 JYO327681:JYQ327681 KIK327681:KIM327681 KSG327681:KSI327681 LCC327681:LCE327681 LLY327681:LMA327681 LVU327681:LVW327681 MFQ327681:MFS327681 MPM327681:MPO327681 MZI327681:MZK327681 NJE327681:NJG327681 NTA327681:NTC327681 OCW327681:OCY327681 OMS327681:OMU327681 OWO327681:OWQ327681 PGK327681:PGM327681 PQG327681:PQI327681 QAC327681:QAE327681 QJY327681:QKA327681 QTU327681:QTW327681 RDQ327681:RDS327681 RNM327681:RNO327681 RXI327681:RXK327681 SHE327681:SHG327681 SRA327681:SRC327681 TAW327681:TAY327681 TKS327681:TKU327681 TUO327681:TUQ327681 UEK327681:UEM327681 UOG327681:UOI327681 UYC327681:UYE327681 VHY327681:VIA327681 VRU327681:VRW327681 WBQ327681:WBS327681 WLM327681:WLO327681 WVI327681:WVK327681 A393217:C393217 IW393217:IY393217 SS393217:SU393217 ACO393217:ACQ393217 AMK393217:AMM393217 AWG393217:AWI393217 BGC393217:BGE393217 BPY393217:BQA393217 BZU393217:BZW393217 CJQ393217:CJS393217 CTM393217:CTO393217 DDI393217:DDK393217 DNE393217:DNG393217 DXA393217:DXC393217 EGW393217:EGY393217 EQS393217:EQU393217 FAO393217:FAQ393217 FKK393217:FKM393217 FUG393217:FUI393217 GEC393217:GEE393217 GNY393217:GOA393217 GXU393217:GXW393217 HHQ393217:HHS393217 HRM393217:HRO393217 IBI393217:IBK393217 ILE393217:ILG393217 IVA393217:IVC393217 JEW393217:JEY393217 JOS393217:JOU393217 JYO393217:JYQ393217 KIK393217:KIM393217 KSG393217:KSI393217 LCC393217:LCE393217 LLY393217:LMA393217 LVU393217:LVW393217 MFQ393217:MFS393217 MPM393217:MPO393217 MZI393217:MZK393217 NJE393217:NJG393217 NTA393217:NTC393217 OCW393217:OCY393217 OMS393217:OMU393217 OWO393217:OWQ393217 PGK393217:PGM393217 PQG393217:PQI393217 QAC393217:QAE393217 QJY393217:QKA393217 QTU393217:QTW393217 RDQ393217:RDS393217 RNM393217:RNO393217 RXI393217:RXK393217 SHE393217:SHG393217 SRA393217:SRC393217 TAW393217:TAY393217 TKS393217:TKU393217 TUO393217:TUQ393217 UEK393217:UEM393217 UOG393217:UOI393217 UYC393217:UYE393217 VHY393217:VIA393217 VRU393217:VRW393217 WBQ393217:WBS393217 WLM393217:WLO393217 WVI393217:WVK393217 A458753:C458753 IW458753:IY458753 SS458753:SU458753 ACO458753:ACQ458753 AMK458753:AMM458753 AWG458753:AWI458753 BGC458753:BGE458753 BPY458753:BQA458753 BZU458753:BZW458753 CJQ458753:CJS458753 CTM458753:CTO458753 DDI458753:DDK458753 DNE458753:DNG458753 DXA458753:DXC458753 EGW458753:EGY458753 EQS458753:EQU458753 FAO458753:FAQ458753 FKK458753:FKM458753 FUG458753:FUI458753 GEC458753:GEE458753 GNY458753:GOA458753 GXU458753:GXW458753 HHQ458753:HHS458753 HRM458753:HRO458753 IBI458753:IBK458753 ILE458753:ILG458753 IVA458753:IVC458753 JEW458753:JEY458753 JOS458753:JOU458753 JYO458753:JYQ458753 KIK458753:KIM458753 KSG458753:KSI458753 LCC458753:LCE458753 LLY458753:LMA458753 LVU458753:LVW458753 MFQ458753:MFS458753 MPM458753:MPO458753 MZI458753:MZK458753 NJE458753:NJG458753 NTA458753:NTC458753 OCW458753:OCY458753 OMS458753:OMU458753 OWO458753:OWQ458753 PGK458753:PGM458753 PQG458753:PQI458753 QAC458753:QAE458753 QJY458753:QKA458753 QTU458753:QTW458753 RDQ458753:RDS458753 RNM458753:RNO458753 RXI458753:RXK458753 SHE458753:SHG458753 SRA458753:SRC458753 TAW458753:TAY458753 TKS458753:TKU458753 TUO458753:TUQ458753 UEK458753:UEM458753 UOG458753:UOI458753 UYC458753:UYE458753 VHY458753:VIA458753 VRU458753:VRW458753 WBQ458753:WBS458753 WLM458753:WLO458753 WVI458753:WVK458753 A524289:C524289 IW524289:IY524289 SS524289:SU524289 ACO524289:ACQ524289 AMK524289:AMM524289 AWG524289:AWI524289 BGC524289:BGE524289 BPY524289:BQA524289 BZU524289:BZW524289 CJQ524289:CJS524289 CTM524289:CTO524289 DDI524289:DDK524289 DNE524289:DNG524289 DXA524289:DXC524289 EGW524289:EGY524289 EQS524289:EQU524289 FAO524289:FAQ524289 FKK524289:FKM524289 FUG524289:FUI524289 GEC524289:GEE524289 GNY524289:GOA524289 GXU524289:GXW524289 HHQ524289:HHS524289 HRM524289:HRO524289 IBI524289:IBK524289 ILE524289:ILG524289 IVA524289:IVC524289 JEW524289:JEY524289 JOS524289:JOU524289 JYO524289:JYQ524289 KIK524289:KIM524289 KSG524289:KSI524289 LCC524289:LCE524289 LLY524289:LMA524289 LVU524289:LVW524289 MFQ524289:MFS524289 MPM524289:MPO524289 MZI524289:MZK524289 NJE524289:NJG524289 NTA524289:NTC524289 OCW524289:OCY524289 OMS524289:OMU524289 OWO524289:OWQ524289 PGK524289:PGM524289 PQG524289:PQI524289 QAC524289:QAE524289 QJY524289:QKA524289 QTU524289:QTW524289 RDQ524289:RDS524289 RNM524289:RNO524289 RXI524289:RXK524289 SHE524289:SHG524289 SRA524289:SRC524289 TAW524289:TAY524289 TKS524289:TKU524289 TUO524289:TUQ524289 UEK524289:UEM524289 UOG524289:UOI524289 UYC524289:UYE524289 VHY524289:VIA524289 VRU524289:VRW524289 WBQ524289:WBS524289 WLM524289:WLO524289 WVI524289:WVK524289 A589825:C589825 IW589825:IY589825 SS589825:SU589825 ACO589825:ACQ589825 AMK589825:AMM589825 AWG589825:AWI589825 BGC589825:BGE589825 BPY589825:BQA589825 BZU589825:BZW589825 CJQ589825:CJS589825 CTM589825:CTO589825 DDI589825:DDK589825 DNE589825:DNG589825 DXA589825:DXC589825 EGW589825:EGY589825 EQS589825:EQU589825 FAO589825:FAQ589825 FKK589825:FKM589825 FUG589825:FUI589825 GEC589825:GEE589825 GNY589825:GOA589825 GXU589825:GXW589825 HHQ589825:HHS589825 HRM589825:HRO589825 IBI589825:IBK589825 ILE589825:ILG589825 IVA589825:IVC589825 JEW589825:JEY589825 JOS589825:JOU589825 JYO589825:JYQ589825 KIK589825:KIM589825 KSG589825:KSI589825 LCC589825:LCE589825 LLY589825:LMA589825 LVU589825:LVW589825 MFQ589825:MFS589825 MPM589825:MPO589825 MZI589825:MZK589825 NJE589825:NJG589825 NTA589825:NTC589825 OCW589825:OCY589825 OMS589825:OMU589825 OWO589825:OWQ589825 PGK589825:PGM589825 PQG589825:PQI589825 QAC589825:QAE589825 QJY589825:QKA589825 QTU589825:QTW589825 RDQ589825:RDS589825 RNM589825:RNO589825 RXI589825:RXK589825 SHE589825:SHG589825 SRA589825:SRC589825 TAW589825:TAY589825 TKS589825:TKU589825 TUO589825:TUQ589825 UEK589825:UEM589825 UOG589825:UOI589825 UYC589825:UYE589825 VHY589825:VIA589825 VRU589825:VRW589825 WBQ589825:WBS589825 WLM589825:WLO589825 WVI589825:WVK589825 A655361:C655361 IW655361:IY655361 SS655361:SU655361 ACO655361:ACQ655361 AMK655361:AMM655361 AWG655361:AWI655361 BGC655361:BGE655361 BPY655361:BQA655361 BZU655361:BZW655361 CJQ655361:CJS655361 CTM655361:CTO655361 DDI655361:DDK655361 DNE655361:DNG655361 DXA655361:DXC655361 EGW655361:EGY655361 EQS655361:EQU655361 FAO655361:FAQ655361 FKK655361:FKM655361 FUG655361:FUI655361 GEC655361:GEE655361 GNY655361:GOA655361 GXU655361:GXW655361 HHQ655361:HHS655361 HRM655361:HRO655361 IBI655361:IBK655361 ILE655361:ILG655361 IVA655361:IVC655361 JEW655361:JEY655361 JOS655361:JOU655361 JYO655361:JYQ655361 KIK655361:KIM655361 KSG655361:KSI655361 LCC655361:LCE655361 LLY655361:LMA655361 LVU655361:LVW655361 MFQ655361:MFS655361 MPM655361:MPO655361 MZI655361:MZK655361 NJE655361:NJG655361 NTA655361:NTC655361 OCW655361:OCY655361 OMS655361:OMU655361 OWO655361:OWQ655361 PGK655361:PGM655361 PQG655361:PQI655361 QAC655361:QAE655361 QJY655361:QKA655361 QTU655361:QTW655361 RDQ655361:RDS655361 RNM655361:RNO655361 RXI655361:RXK655361 SHE655361:SHG655361 SRA655361:SRC655361 TAW655361:TAY655361 TKS655361:TKU655361 TUO655361:TUQ655361 UEK655361:UEM655361 UOG655361:UOI655361 UYC655361:UYE655361 VHY655361:VIA655361 VRU655361:VRW655361 WBQ655361:WBS655361 WLM655361:WLO655361 WVI655361:WVK655361 A720897:C720897 IW720897:IY720897 SS720897:SU720897 ACO720897:ACQ720897 AMK720897:AMM720897 AWG720897:AWI720897 BGC720897:BGE720897 BPY720897:BQA720897 BZU720897:BZW720897 CJQ720897:CJS720897 CTM720897:CTO720897 DDI720897:DDK720897 DNE720897:DNG720897 DXA720897:DXC720897 EGW720897:EGY720897 EQS720897:EQU720897 FAO720897:FAQ720897 FKK720897:FKM720897 FUG720897:FUI720897 GEC720897:GEE720897 GNY720897:GOA720897 GXU720897:GXW720897 HHQ720897:HHS720897 HRM720897:HRO720897 IBI720897:IBK720897 ILE720897:ILG720897 IVA720897:IVC720897 JEW720897:JEY720897 JOS720897:JOU720897 JYO720897:JYQ720897 KIK720897:KIM720897 KSG720897:KSI720897 LCC720897:LCE720897 LLY720897:LMA720897 LVU720897:LVW720897 MFQ720897:MFS720897 MPM720897:MPO720897 MZI720897:MZK720897 NJE720897:NJG720897 NTA720897:NTC720897 OCW720897:OCY720897 OMS720897:OMU720897 OWO720897:OWQ720897 PGK720897:PGM720897 PQG720897:PQI720897 QAC720897:QAE720897 QJY720897:QKA720897 QTU720897:QTW720897 RDQ720897:RDS720897 RNM720897:RNO720897 RXI720897:RXK720897 SHE720897:SHG720897 SRA720897:SRC720897 TAW720897:TAY720897 TKS720897:TKU720897 TUO720897:TUQ720897 UEK720897:UEM720897 UOG720897:UOI720897 UYC720897:UYE720897 VHY720897:VIA720897 VRU720897:VRW720897 WBQ720897:WBS720897 WLM720897:WLO720897 WVI720897:WVK720897 A786433:C786433 IW786433:IY786433 SS786433:SU786433 ACO786433:ACQ786433 AMK786433:AMM786433 AWG786433:AWI786433 BGC786433:BGE786433 BPY786433:BQA786433 BZU786433:BZW786433 CJQ786433:CJS786433 CTM786433:CTO786433 DDI786433:DDK786433 DNE786433:DNG786433 DXA786433:DXC786433 EGW786433:EGY786433 EQS786433:EQU786433 FAO786433:FAQ786433 FKK786433:FKM786433 FUG786433:FUI786433 GEC786433:GEE786433 GNY786433:GOA786433 GXU786433:GXW786433 HHQ786433:HHS786433 HRM786433:HRO786433 IBI786433:IBK786433 ILE786433:ILG786433 IVA786433:IVC786433 JEW786433:JEY786433 JOS786433:JOU786433 JYO786433:JYQ786433 KIK786433:KIM786433 KSG786433:KSI786433 LCC786433:LCE786433 LLY786433:LMA786433 LVU786433:LVW786433 MFQ786433:MFS786433 MPM786433:MPO786433 MZI786433:MZK786433 NJE786433:NJG786433 NTA786433:NTC786433 OCW786433:OCY786433 OMS786433:OMU786433 OWO786433:OWQ786433 PGK786433:PGM786433 PQG786433:PQI786433 QAC786433:QAE786433 QJY786433:QKA786433 QTU786433:QTW786433 RDQ786433:RDS786433 RNM786433:RNO786433 RXI786433:RXK786433 SHE786433:SHG786433 SRA786433:SRC786433 TAW786433:TAY786433 TKS786433:TKU786433 TUO786433:TUQ786433 UEK786433:UEM786433 UOG786433:UOI786433 UYC786433:UYE786433 VHY786433:VIA786433 VRU786433:VRW786433 WBQ786433:WBS786433 WLM786433:WLO786433 WVI786433:WVK786433 A851969:C851969 IW851969:IY851969 SS851969:SU851969 ACO851969:ACQ851969 AMK851969:AMM851969 AWG851969:AWI851969 BGC851969:BGE851969 BPY851969:BQA851969 BZU851969:BZW851969 CJQ851969:CJS851969 CTM851969:CTO851969 DDI851969:DDK851969 DNE851969:DNG851969 DXA851969:DXC851969 EGW851969:EGY851969 EQS851969:EQU851969 FAO851969:FAQ851969 FKK851969:FKM851969 FUG851969:FUI851969 GEC851969:GEE851969 GNY851969:GOA851969 GXU851969:GXW851969 HHQ851969:HHS851969 HRM851969:HRO851969 IBI851969:IBK851969 ILE851969:ILG851969 IVA851969:IVC851969 JEW851969:JEY851969 JOS851969:JOU851969 JYO851969:JYQ851969 KIK851969:KIM851969 KSG851969:KSI851969 LCC851969:LCE851969 LLY851969:LMA851969 LVU851969:LVW851969 MFQ851969:MFS851969 MPM851969:MPO851969 MZI851969:MZK851969 NJE851969:NJG851969 NTA851969:NTC851969 OCW851969:OCY851969 OMS851969:OMU851969 OWO851969:OWQ851969 PGK851969:PGM851969 PQG851969:PQI851969 QAC851969:QAE851969 QJY851969:QKA851969 QTU851969:QTW851969 RDQ851969:RDS851969 RNM851969:RNO851969 RXI851969:RXK851969 SHE851969:SHG851969 SRA851969:SRC851969 TAW851969:TAY851969 TKS851969:TKU851969 TUO851969:TUQ851969 UEK851969:UEM851969 UOG851969:UOI851969 UYC851969:UYE851969 VHY851969:VIA851969 VRU851969:VRW851969 WBQ851969:WBS851969 WLM851969:WLO851969 WVI851969:WVK851969 A917505:C917505 IW917505:IY917505 SS917505:SU917505 ACO917505:ACQ917505 AMK917505:AMM917505 AWG917505:AWI917505 BGC917505:BGE917505 BPY917505:BQA917505 BZU917505:BZW917505 CJQ917505:CJS917505 CTM917505:CTO917505 DDI917505:DDK917505 DNE917505:DNG917505 DXA917505:DXC917505 EGW917505:EGY917505 EQS917505:EQU917505 FAO917505:FAQ917505 FKK917505:FKM917505 FUG917505:FUI917505 GEC917505:GEE917505 GNY917505:GOA917505 GXU917505:GXW917505 HHQ917505:HHS917505 HRM917505:HRO917505 IBI917505:IBK917505 ILE917505:ILG917505 IVA917505:IVC917505 JEW917505:JEY917505 JOS917505:JOU917505 JYO917505:JYQ917505 KIK917505:KIM917505 KSG917505:KSI917505 LCC917505:LCE917505 LLY917505:LMA917505 LVU917505:LVW917505 MFQ917505:MFS917505 MPM917505:MPO917505 MZI917505:MZK917505 NJE917505:NJG917505 NTA917505:NTC917505 OCW917505:OCY917505 OMS917505:OMU917505 OWO917505:OWQ917505 PGK917505:PGM917505 PQG917505:PQI917505 QAC917505:QAE917505 QJY917505:QKA917505 QTU917505:QTW917505 RDQ917505:RDS917505 RNM917505:RNO917505 RXI917505:RXK917505 SHE917505:SHG917505 SRA917505:SRC917505 TAW917505:TAY917505 TKS917505:TKU917505 TUO917505:TUQ917505 UEK917505:UEM917505 UOG917505:UOI917505 UYC917505:UYE917505 VHY917505:VIA917505 VRU917505:VRW917505 WBQ917505:WBS917505 WLM917505:WLO917505 WVI917505:WVK917505 A983041:C983041 IW983041:IY983041 SS983041:SU983041 ACO983041:ACQ983041 AMK983041:AMM983041 AWG983041:AWI983041 BGC983041:BGE983041 BPY983041:BQA983041 BZU983041:BZW983041 CJQ983041:CJS983041 CTM983041:CTO983041 DDI983041:DDK983041 DNE983041:DNG983041 DXA983041:DXC983041 EGW983041:EGY983041 EQS983041:EQU983041 FAO983041:FAQ983041 FKK983041:FKM983041 FUG983041:FUI983041 GEC983041:GEE983041 GNY983041:GOA983041 GXU983041:GXW983041 HHQ983041:HHS983041 HRM983041:HRO983041 IBI983041:IBK983041 ILE983041:ILG983041 IVA983041:IVC983041 JEW983041:JEY983041 JOS983041:JOU983041 JYO983041:JYQ983041 KIK983041:KIM983041 KSG983041:KSI983041 LCC983041:LCE983041 LLY983041:LMA983041 LVU983041:LVW983041 MFQ983041:MFS983041 MPM983041:MPO983041 MZI983041:MZK983041 NJE983041:NJG983041 NTA983041:NTC983041 OCW983041:OCY983041 OMS983041:OMU983041 OWO983041:OWQ983041 PGK983041:PGM983041 PQG983041:PQI983041 QAC983041:QAE983041 QJY983041:QKA983041 QTU983041:QTW983041 RDQ983041:RDS983041 RNM983041:RNO983041 RXI983041:RXK983041 SHE983041:SHG983041 SRA983041:SRC983041 TAW983041:TAY983041 TKS983041:TKU983041 TUO983041:TUQ983041 UEK983041:UEM983041 UOG983041:UOI983041 UYC983041:UYE983041 VHY983041:VIA983041 VRU983041:VRW983041 WBQ983041:WBS983041 WLM983041:WLO983041 WVI983041:WVK983041"/>
    <dataValidation type="custom" allowBlank="1" showInputMessage="1" showErrorMessage="1" error="Input 1 or 2, and can not be entered when the 'DecimationHorizontal' is not 1" sqref="B6">
      <formula1>AND(OR((B6=1),(B6=2)),B8=1)</formula1>
    </dataValidation>
    <dataValidation type="custom" allowBlank="1" showInputMessage="1" showErrorMessage="1" errorTitle="输入数值非法" error="Input range:[16,'WidthMax'],and is an integer multiple of 16" sqref="B4">
      <formula1>AND((B4&lt;=B2),(B4&gt;=4),(MOD(B4,4)=0))</formula1>
    </dataValidation>
    <dataValidation type="custom" allowBlank="1" showInputMessage="1" showErrorMessage="1" errorTitle="输入数值非法" error="输入范围是16~图像宽度最大值，步长为16" sqref="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formula1>AND((C4&lt;=C2),(C4&gt;=4),(MOD(C4,4)=0))</formula1>
    </dataValidation>
    <dataValidation type="list" allowBlank="1" showInputMessage="1" showErrorMessage="1" sqref="M37 JI37 TE37 ADA37 AMW37 AWS37 BGO37 BQK37 CAG37 CKC37 CTY37 DDU37 DNQ37 DXM37 EHI37 ERE37 FBA37 FKW37 FUS37 GEO37 GOK37 GYG37 HIC37 HRY37 IBU37 ILQ37 IVM37 JFI37 JPE37 JZA37 KIW37 KSS37 LCO37 LMK37 LWG37 MGC37 MPY37 MZU37 NJQ37 NTM37 ODI37 ONE37 OXA37 PGW37 PQS37 QAO37 QKK37 QUG37 REC37 RNY37 RXU37 SHQ37 SRM37 TBI37 TLE37 TVA37 UEW37 UOS37 UYO37 VIK37 VSG37 WCC37 WLY37 WVU37 M65573 JI65573 TE65573 ADA65573 AMW65573 AWS65573 BGO65573 BQK65573 CAG65573 CKC65573 CTY65573 DDU65573 DNQ65573 DXM65573 EHI65573 ERE65573 FBA65573 FKW65573 FUS65573 GEO65573 GOK65573 GYG65573 HIC65573 HRY65573 IBU65573 ILQ65573 IVM65573 JFI65573 JPE65573 JZA65573 KIW65573 KSS65573 LCO65573 LMK65573 LWG65573 MGC65573 MPY65573 MZU65573 NJQ65573 NTM65573 ODI65573 ONE65573 OXA65573 PGW65573 PQS65573 QAO65573 QKK65573 QUG65573 REC65573 RNY65573 RXU65573 SHQ65573 SRM65573 TBI65573 TLE65573 TVA65573 UEW65573 UOS65573 UYO65573 VIK65573 VSG65573 WCC65573 WLY65573 WVU65573 M131109 JI131109 TE131109 ADA131109 AMW131109 AWS131109 BGO131109 BQK131109 CAG131109 CKC131109 CTY131109 DDU131109 DNQ131109 DXM131109 EHI131109 ERE131109 FBA131109 FKW131109 FUS131109 GEO131109 GOK131109 GYG131109 HIC131109 HRY131109 IBU131109 ILQ131109 IVM131109 JFI131109 JPE131109 JZA131109 KIW131109 KSS131109 LCO131109 LMK131109 LWG131109 MGC131109 MPY131109 MZU131109 NJQ131109 NTM131109 ODI131109 ONE131109 OXA131109 PGW131109 PQS131109 QAO131109 QKK131109 QUG131109 REC131109 RNY131109 RXU131109 SHQ131109 SRM131109 TBI131109 TLE131109 TVA131109 UEW131109 UOS131109 UYO131109 VIK131109 VSG131109 WCC131109 WLY131109 WVU131109 M196645 JI196645 TE196645 ADA196645 AMW196645 AWS196645 BGO196645 BQK196645 CAG196645 CKC196645 CTY196645 DDU196645 DNQ196645 DXM196645 EHI196645 ERE196645 FBA196645 FKW196645 FUS196645 GEO196645 GOK196645 GYG196645 HIC196645 HRY196645 IBU196645 ILQ196645 IVM196645 JFI196645 JPE196645 JZA196645 KIW196645 KSS196645 LCO196645 LMK196645 LWG196645 MGC196645 MPY196645 MZU196645 NJQ196645 NTM196645 ODI196645 ONE196645 OXA196645 PGW196645 PQS196645 QAO196645 QKK196645 QUG196645 REC196645 RNY196645 RXU196645 SHQ196645 SRM196645 TBI196645 TLE196645 TVA196645 UEW196645 UOS196645 UYO196645 VIK196645 VSG196645 WCC196645 WLY196645 WVU196645 M262181 JI262181 TE262181 ADA262181 AMW262181 AWS262181 BGO262181 BQK262181 CAG262181 CKC262181 CTY262181 DDU262181 DNQ262181 DXM262181 EHI262181 ERE262181 FBA262181 FKW262181 FUS262181 GEO262181 GOK262181 GYG262181 HIC262181 HRY262181 IBU262181 ILQ262181 IVM262181 JFI262181 JPE262181 JZA262181 KIW262181 KSS262181 LCO262181 LMK262181 LWG262181 MGC262181 MPY262181 MZU262181 NJQ262181 NTM262181 ODI262181 ONE262181 OXA262181 PGW262181 PQS262181 QAO262181 QKK262181 QUG262181 REC262181 RNY262181 RXU262181 SHQ262181 SRM262181 TBI262181 TLE262181 TVA262181 UEW262181 UOS262181 UYO262181 VIK262181 VSG262181 WCC262181 WLY262181 WVU262181 M327717 JI327717 TE327717 ADA327717 AMW327717 AWS327717 BGO327717 BQK327717 CAG327717 CKC327717 CTY327717 DDU327717 DNQ327717 DXM327717 EHI327717 ERE327717 FBA327717 FKW327717 FUS327717 GEO327717 GOK327717 GYG327717 HIC327717 HRY327717 IBU327717 ILQ327717 IVM327717 JFI327717 JPE327717 JZA327717 KIW327717 KSS327717 LCO327717 LMK327717 LWG327717 MGC327717 MPY327717 MZU327717 NJQ327717 NTM327717 ODI327717 ONE327717 OXA327717 PGW327717 PQS327717 QAO327717 QKK327717 QUG327717 REC327717 RNY327717 RXU327717 SHQ327717 SRM327717 TBI327717 TLE327717 TVA327717 UEW327717 UOS327717 UYO327717 VIK327717 VSG327717 WCC327717 WLY327717 WVU327717 M393253 JI393253 TE393253 ADA393253 AMW393253 AWS393253 BGO393253 BQK393253 CAG393253 CKC393253 CTY393253 DDU393253 DNQ393253 DXM393253 EHI393253 ERE393253 FBA393253 FKW393253 FUS393253 GEO393253 GOK393253 GYG393253 HIC393253 HRY393253 IBU393253 ILQ393253 IVM393253 JFI393253 JPE393253 JZA393253 KIW393253 KSS393253 LCO393253 LMK393253 LWG393253 MGC393253 MPY393253 MZU393253 NJQ393253 NTM393253 ODI393253 ONE393253 OXA393253 PGW393253 PQS393253 QAO393253 QKK393253 QUG393253 REC393253 RNY393253 RXU393253 SHQ393253 SRM393253 TBI393253 TLE393253 TVA393253 UEW393253 UOS393253 UYO393253 VIK393253 VSG393253 WCC393253 WLY393253 WVU393253 M458789 JI458789 TE458789 ADA458789 AMW458789 AWS458789 BGO458789 BQK458789 CAG458789 CKC458789 CTY458789 DDU458789 DNQ458789 DXM458789 EHI458789 ERE458789 FBA458789 FKW458789 FUS458789 GEO458789 GOK458789 GYG458789 HIC458789 HRY458789 IBU458789 ILQ458789 IVM458789 JFI458789 JPE458789 JZA458789 KIW458789 KSS458789 LCO458789 LMK458789 LWG458789 MGC458789 MPY458789 MZU458789 NJQ458789 NTM458789 ODI458789 ONE458789 OXA458789 PGW458789 PQS458789 QAO458789 QKK458789 QUG458789 REC458789 RNY458789 RXU458789 SHQ458789 SRM458789 TBI458789 TLE458789 TVA458789 UEW458789 UOS458789 UYO458789 VIK458789 VSG458789 WCC458789 WLY458789 WVU458789 M524325 JI524325 TE524325 ADA524325 AMW524325 AWS524325 BGO524325 BQK524325 CAG524325 CKC524325 CTY524325 DDU524325 DNQ524325 DXM524325 EHI524325 ERE524325 FBA524325 FKW524325 FUS524325 GEO524325 GOK524325 GYG524325 HIC524325 HRY524325 IBU524325 ILQ524325 IVM524325 JFI524325 JPE524325 JZA524325 KIW524325 KSS524325 LCO524325 LMK524325 LWG524325 MGC524325 MPY524325 MZU524325 NJQ524325 NTM524325 ODI524325 ONE524325 OXA524325 PGW524325 PQS524325 QAO524325 QKK524325 QUG524325 REC524325 RNY524325 RXU524325 SHQ524325 SRM524325 TBI524325 TLE524325 TVA524325 UEW524325 UOS524325 UYO524325 VIK524325 VSG524325 WCC524325 WLY524325 WVU524325 M589861 JI589861 TE589861 ADA589861 AMW589861 AWS589861 BGO589861 BQK589861 CAG589861 CKC589861 CTY589861 DDU589861 DNQ589861 DXM589861 EHI589861 ERE589861 FBA589861 FKW589861 FUS589861 GEO589861 GOK589861 GYG589861 HIC589861 HRY589861 IBU589861 ILQ589861 IVM589861 JFI589861 JPE589861 JZA589861 KIW589861 KSS589861 LCO589861 LMK589861 LWG589861 MGC589861 MPY589861 MZU589861 NJQ589861 NTM589861 ODI589861 ONE589861 OXA589861 PGW589861 PQS589861 QAO589861 QKK589861 QUG589861 REC589861 RNY589861 RXU589861 SHQ589861 SRM589861 TBI589861 TLE589861 TVA589861 UEW589861 UOS589861 UYO589861 VIK589861 VSG589861 WCC589861 WLY589861 WVU589861 M655397 JI655397 TE655397 ADA655397 AMW655397 AWS655397 BGO655397 BQK655397 CAG655397 CKC655397 CTY655397 DDU655397 DNQ655397 DXM655397 EHI655397 ERE655397 FBA655397 FKW655397 FUS655397 GEO655397 GOK655397 GYG655397 HIC655397 HRY655397 IBU655397 ILQ655397 IVM655397 JFI655397 JPE655397 JZA655397 KIW655397 KSS655397 LCO655397 LMK655397 LWG655397 MGC655397 MPY655397 MZU655397 NJQ655397 NTM655397 ODI655397 ONE655397 OXA655397 PGW655397 PQS655397 QAO655397 QKK655397 QUG655397 REC655397 RNY655397 RXU655397 SHQ655397 SRM655397 TBI655397 TLE655397 TVA655397 UEW655397 UOS655397 UYO655397 VIK655397 VSG655397 WCC655397 WLY655397 WVU655397 M720933 JI720933 TE720933 ADA720933 AMW720933 AWS720933 BGO720933 BQK720933 CAG720933 CKC720933 CTY720933 DDU720933 DNQ720933 DXM720933 EHI720933 ERE720933 FBA720933 FKW720933 FUS720933 GEO720933 GOK720933 GYG720933 HIC720933 HRY720933 IBU720933 ILQ720933 IVM720933 JFI720933 JPE720933 JZA720933 KIW720933 KSS720933 LCO720933 LMK720933 LWG720933 MGC720933 MPY720933 MZU720933 NJQ720933 NTM720933 ODI720933 ONE720933 OXA720933 PGW720933 PQS720933 QAO720933 QKK720933 QUG720933 REC720933 RNY720933 RXU720933 SHQ720933 SRM720933 TBI720933 TLE720933 TVA720933 UEW720933 UOS720933 UYO720933 VIK720933 VSG720933 WCC720933 WLY720933 WVU720933 M786469 JI786469 TE786469 ADA786469 AMW786469 AWS786469 BGO786469 BQK786469 CAG786469 CKC786469 CTY786469 DDU786469 DNQ786469 DXM786469 EHI786469 ERE786469 FBA786469 FKW786469 FUS786469 GEO786469 GOK786469 GYG786469 HIC786469 HRY786469 IBU786469 ILQ786469 IVM786469 JFI786469 JPE786469 JZA786469 KIW786469 KSS786469 LCO786469 LMK786469 LWG786469 MGC786469 MPY786469 MZU786469 NJQ786469 NTM786469 ODI786469 ONE786469 OXA786469 PGW786469 PQS786469 QAO786469 QKK786469 QUG786469 REC786469 RNY786469 RXU786469 SHQ786469 SRM786469 TBI786469 TLE786469 TVA786469 UEW786469 UOS786469 UYO786469 VIK786469 VSG786469 WCC786469 WLY786469 WVU786469 M852005 JI852005 TE852005 ADA852005 AMW852005 AWS852005 BGO852005 BQK852005 CAG852005 CKC852005 CTY852005 DDU852005 DNQ852005 DXM852005 EHI852005 ERE852005 FBA852005 FKW852005 FUS852005 GEO852005 GOK852005 GYG852005 HIC852005 HRY852005 IBU852005 ILQ852005 IVM852005 JFI852005 JPE852005 JZA852005 KIW852005 KSS852005 LCO852005 LMK852005 LWG852005 MGC852005 MPY852005 MZU852005 NJQ852005 NTM852005 ODI852005 ONE852005 OXA852005 PGW852005 PQS852005 QAO852005 QKK852005 QUG852005 REC852005 RNY852005 RXU852005 SHQ852005 SRM852005 TBI852005 TLE852005 TVA852005 UEW852005 UOS852005 UYO852005 VIK852005 VSG852005 WCC852005 WLY852005 WVU852005 M917541 JI917541 TE917541 ADA917541 AMW917541 AWS917541 BGO917541 BQK917541 CAG917541 CKC917541 CTY917541 DDU917541 DNQ917541 DXM917541 EHI917541 ERE917541 FBA917541 FKW917541 FUS917541 GEO917541 GOK917541 GYG917541 HIC917541 HRY917541 IBU917541 ILQ917541 IVM917541 JFI917541 JPE917541 JZA917541 KIW917541 KSS917541 LCO917541 LMK917541 LWG917541 MGC917541 MPY917541 MZU917541 NJQ917541 NTM917541 ODI917541 ONE917541 OXA917541 PGW917541 PQS917541 QAO917541 QKK917541 QUG917541 REC917541 RNY917541 RXU917541 SHQ917541 SRM917541 TBI917541 TLE917541 TVA917541 UEW917541 UOS917541 UYO917541 VIK917541 VSG917541 WCC917541 WLY917541 WVU917541 M983077 JI983077 TE983077 ADA983077 AMW983077 AWS983077 BGO983077 BQK983077 CAG983077 CKC983077 CTY983077 DDU983077 DNQ983077 DXM983077 EHI983077 ERE983077 FBA983077 FKW983077 FUS983077 GEO983077 GOK983077 GYG983077 HIC983077 HRY983077 IBU983077 ILQ983077 IVM983077 JFI983077 JPE983077 JZA983077 KIW983077 KSS983077 LCO983077 LMK983077 LWG983077 MGC983077 MPY983077 MZU983077 NJQ983077 NTM983077 ODI983077 ONE983077 OXA983077 PGW983077 PQS983077 QAO983077 QKK983077 QUG983077 REC983077 RNY983077 RXU983077 SHQ983077 SRM983077 TBI983077 TLE983077 TVA983077 UEW983077 UOS983077 UYO983077 VIK983077 VSG983077 WCC983077 WLY983077 WVU983077">
      <formula1>$BE$38:$BE$41</formula1>
    </dataValidation>
    <dataValidation type="custom" allowBlank="1" showInputMessage="1" showErrorMessage="1" error="Input 1 or 2, and can not be entered when the 'BinningVertical' is not 1" sqref="B9">
      <formula1>AND(OR((B9=1),(B9=2)),(B7=1))</formula1>
    </dataValidation>
    <dataValidation type="custom" allowBlank="1" showInputMessage="1" showErrorMessage="1" error="Input 1 or 2, and can not be entered when the 'DecimationVertical' is not 1" sqref="B7">
      <formula1>AND(OR((B7=1),(B7=2)),B9=1)</formula1>
    </dataValidation>
    <dataValidation type="list" allowBlank="1" showInputMessage="1" showErrorMessage="1" sqref="N63 JJ63 TF63 ADB63 AMX63 AWT63 BGP63 BQL63 CAH63 CKD63 CTZ63 DDV63 DNR63 DXN63 EHJ63 ERF63 FBB63 FKX63 FUT63 GEP63 GOL63 GYH63 HID63 HRZ63 IBV63 ILR63 IVN63 JFJ63 JPF63 JZB63 KIX63 KST63 LCP63 LML63 LWH63 MGD63 MPZ63 MZV63 NJR63 NTN63 ODJ63 ONF63 OXB63 PGX63 PQT63 QAP63 QKL63 QUH63 RED63 RNZ63 RXV63 SHR63 SRN63 TBJ63 TLF63 TVB63 UEX63 UOT63 UYP63 VIL63 VSH63 WCD63 WLZ63 WVV63 N65599 JJ65599 TF65599 ADB65599 AMX65599 AWT65599 BGP65599 BQL65599 CAH65599 CKD65599 CTZ65599 DDV65599 DNR65599 DXN65599 EHJ65599 ERF65599 FBB65599 FKX65599 FUT65599 GEP65599 GOL65599 GYH65599 HID65599 HRZ65599 IBV65599 ILR65599 IVN65599 JFJ65599 JPF65599 JZB65599 KIX65599 KST65599 LCP65599 LML65599 LWH65599 MGD65599 MPZ65599 MZV65599 NJR65599 NTN65599 ODJ65599 ONF65599 OXB65599 PGX65599 PQT65599 QAP65599 QKL65599 QUH65599 RED65599 RNZ65599 RXV65599 SHR65599 SRN65599 TBJ65599 TLF65599 TVB65599 UEX65599 UOT65599 UYP65599 VIL65599 VSH65599 WCD65599 WLZ65599 WVV65599 N131135 JJ131135 TF131135 ADB131135 AMX131135 AWT131135 BGP131135 BQL131135 CAH131135 CKD131135 CTZ131135 DDV131135 DNR131135 DXN131135 EHJ131135 ERF131135 FBB131135 FKX131135 FUT131135 GEP131135 GOL131135 GYH131135 HID131135 HRZ131135 IBV131135 ILR131135 IVN131135 JFJ131135 JPF131135 JZB131135 KIX131135 KST131135 LCP131135 LML131135 LWH131135 MGD131135 MPZ131135 MZV131135 NJR131135 NTN131135 ODJ131135 ONF131135 OXB131135 PGX131135 PQT131135 QAP131135 QKL131135 QUH131135 RED131135 RNZ131135 RXV131135 SHR131135 SRN131135 TBJ131135 TLF131135 TVB131135 UEX131135 UOT131135 UYP131135 VIL131135 VSH131135 WCD131135 WLZ131135 WVV131135 N196671 JJ196671 TF196671 ADB196671 AMX196671 AWT196671 BGP196671 BQL196671 CAH196671 CKD196671 CTZ196671 DDV196671 DNR196671 DXN196671 EHJ196671 ERF196671 FBB196671 FKX196671 FUT196671 GEP196671 GOL196671 GYH196671 HID196671 HRZ196671 IBV196671 ILR196671 IVN196671 JFJ196671 JPF196671 JZB196671 KIX196671 KST196671 LCP196671 LML196671 LWH196671 MGD196671 MPZ196671 MZV196671 NJR196671 NTN196671 ODJ196671 ONF196671 OXB196671 PGX196671 PQT196671 QAP196671 QKL196671 QUH196671 RED196671 RNZ196671 RXV196671 SHR196671 SRN196671 TBJ196671 TLF196671 TVB196671 UEX196671 UOT196671 UYP196671 VIL196671 VSH196671 WCD196671 WLZ196671 WVV196671 N262207 JJ262207 TF262207 ADB262207 AMX262207 AWT262207 BGP262207 BQL262207 CAH262207 CKD262207 CTZ262207 DDV262207 DNR262207 DXN262207 EHJ262207 ERF262207 FBB262207 FKX262207 FUT262207 GEP262207 GOL262207 GYH262207 HID262207 HRZ262207 IBV262207 ILR262207 IVN262207 JFJ262207 JPF262207 JZB262207 KIX262207 KST262207 LCP262207 LML262207 LWH262207 MGD262207 MPZ262207 MZV262207 NJR262207 NTN262207 ODJ262207 ONF262207 OXB262207 PGX262207 PQT262207 QAP262207 QKL262207 QUH262207 RED262207 RNZ262207 RXV262207 SHR262207 SRN262207 TBJ262207 TLF262207 TVB262207 UEX262207 UOT262207 UYP262207 VIL262207 VSH262207 WCD262207 WLZ262207 WVV262207 N327743 JJ327743 TF327743 ADB327743 AMX327743 AWT327743 BGP327743 BQL327743 CAH327743 CKD327743 CTZ327743 DDV327743 DNR327743 DXN327743 EHJ327743 ERF327743 FBB327743 FKX327743 FUT327743 GEP327743 GOL327743 GYH327743 HID327743 HRZ327743 IBV327743 ILR327743 IVN327743 JFJ327743 JPF327743 JZB327743 KIX327743 KST327743 LCP327743 LML327743 LWH327743 MGD327743 MPZ327743 MZV327743 NJR327743 NTN327743 ODJ327743 ONF327743 OXB327743 PGX327743 PQT327743 QAP327743 QKL327743 QUH327743 RED327743 RNZ327743 RXV327743 SHR327743 SRN327743 TBJ327743 TLF327743 TVB327743 UEX327743 UOT327743 UYP327743 VIL327743 VSH327743 WCD327743 WLZ327743 WVV327743 N393279 JJ393279 TF393279 ADB393279 AMX393279 AWT393279 BGP393279 BQL393279 CAH393279 CKD393279 CTZ393279 DDV393279 DNR393279 DXN393279 EHJ393279 ERF393279 FBB393279 FKX393279 FUT393279 GEP393279 GOL393279 GYH393279 HID393279 HRZ393279 IBV393279 ILR393279 IVN393279 JFJ393279 JPF393279 JZB393279 KIX393279 KST393279 LCP393279 LML393279 LWH393279 MGD393279 MPZ393279 MZV393279 NJR393279 NTN393279 ODJ393279 ONF393279 OXB393279 PGX393279 PQT393279 QAP393279 QKL393279 QUH393279 RED393279 RNZ393279 RXV393279 SHR393279 SRN393279 TBJ393279 TLF393279 TVB393279 UEX393279 UOT393279 UYP393279 VIL393279 VSH393279 WCD393279 WLZ393279 WVV393279 N458815 JJ458815 TF458815 ADB458815 AMX458815 AWT458815 BGP458815 BQL458815 CAH458815 CKD458815 CTZ458815 DDV458815 DNR458815 DXN458815 EHJ458815 ERF458815 FBB458815 FKX458815 FUT458815 GEP458815 GOL458815 GYH458815 HID458815 HRZ458815 IBV458815 ILR458815 IVN458815 JFJ458815 JPF458815 JZB458815 KIX458815 KST458815 LCP458815 LML458815 LWH458815 MGD458815 MPZ458815 MZV458815 NJR458815 NTN458815 ODJ458815 ONF458815 OXB458815 PGX458815 PQT458815 QAP458815 QKL458815 QUH458815 RED458815 RNZ458815 RXV458815 SHR458815 SRN458815 TBJ458815 TLF458815 TVB458815 UEX458815 UOT458815 UYP458815 VIL458815 VSH458815 WCD458815 WLZ458815 WVV458815 N524351 JJ524351 TF524351 ADB524351 AMX524351 AWT524351 BGP524351 BQL524351 CAH524351 CKD524351 CTZ524351 DDV524351 DNR524351 DXN524351 EHJ524351 ERF524351 FBB524351 FKX524351 FUT524351 GEP524351 GOL524351 GYH524351 HID524351 HRZ524351 IBV524351 ILR524351 IVN524351 JFJ524351 JPF524351 JZB524351 KIX524351 KST524351 LCP524351 LML524351 LWH524351 MGD524351 MPZ524351 MZV524351 NJR524351 NTN524351 ODJ524351 ONF524351 OXB524351 PGX524351 PQT524351 QAP524351 QKL524351 QUH524351 RED524351 RNZ524351 RXV524351 SHR524351 SRN524351 TBJ524351 TLF524351 TVB524351 UEX524351 UOT524351 UYP524351 VIL524351 VSH524351 WCD524351 WLZ524351 WVV524351 N589887 JJ589887 TF589887 ADB589887 AMX589887 AWT589887 BGP589887 BQL589887 CAH589887 CKD589887 CTZ589887 DDV589887 DNR589887 DXN589887 EHJ589887 ERF589887 FBB589887 FKX589887 FUT589887 GEP589887 GOL589887 GYH589887 HID589887 HRZ589887 IBV589887 ILR589887 IVN589887 JFJ589887 JPF589887 JZB589887 KIX589887 KST589887 LCP589887 LML589887 LWH589887 MGD589887 MPZ589887 MZV589887 NJR589887 NTN589887 ODJ589887 ONF589887 OXB589887 PGX589887 PQT589887 QAP589887 QKL589887 QUH589887 RED589887 RNZ589887 RXV589887 SHR589887 SRN589887 TBJ589887 TLF589887 TVB589887 UEX589887 UOT589887 UYP589887 VIL589887 VSH589887 WCD589887 WLZ589887 WVV589887 N655423 JJ655423 TF655423 ADB655423 AMX655423 AWT655423 BGP655423 BQL655423 CAH655423 CKD655423 CTZ655423 DDV655423 DNR655423 DXN655423 EHJ655423 ERF655423 FBB655423 FKX655423 FUT655423 GEP655423 GOL655423 GYH655423 HID655423 HRZ655423 IBV655423 ILR655423 IVN655423 JFJ655423 JPF655423 JZB655423 KIX655423 KST655423 LCP655423 LML655423 LWH655423 MGD655423 MPZ655423 MZV655423 NJR655423 NTN655423 ODJ655423 ONF655423 OXB655423 PGX655423 PQT655423 QAP655423 QKL655423 QUH655423 RED655423 RNZ655423 RXV655423 SHR655423 SRN655423 TBJ655423 TLF655423 TVB655423 UEX655423 UOT655423 UYP655423 VIL655423 VSH655423 WCD655423 WLZ655423 WVV655423 N720959 JJ720959 TF720959 ADB720959 AMX720959 AWT720959 BGP720959 BQL720959 CAH720959 CKD720959 CTZ720959 DDV720959 DNR720959 DXN720959 EHJ720959 ERF720959 FBB720959 FKX720959 FUT720959 GEP720959 GOL720959 GYH720959 HID720959 HRZ720959 IBV720959 ILR720959 IVN720959 JFJ720959 JPF720959 JZB720959 KIX720959 KST720959 LCP720959 LML720959 LWH720959 MGD720959 MPZ720959 MZV720959 NJR720959 NTN720959 ODJ720959 ONF720959 OXB720959 PGX720959 PQT720959 QAP720959 QKL720959 QUH720959 RED720959 RNZ720959 RXV720959 SHR720959 SRN720959 TBJ720959 TLF720959 TVB720959 UEX720959 UOT720959 UYP720959 VIL720959 VSH720959 WCD720959 WLZ720959 WVV720959 N786495 JJ786495 TF786495 ADB786495 AMX786495 AWT786495 BGP786495 BQL786495 CAH786495 CKD786495 CTZ786495 DDV786495 DNR786495 DXN786495 EHJ786495 ERF786495 FBB786495 FKX786495 FUT786495 GEP786495 GOL786495 GYH786495 HID786495 HRZ786495 IBV786495 ILR786495 IVN786495 JFJ786495 JPF786495 JZB786495 KIX786495 KST786495 LCP786495 LML786495 LWH786495 MGD786495 MPZ786495 MZV786495 NJR786495 NTN786495 ODJ786495 ONF786495 OXB786495 PGX786495 PQT786495 QAP786495 QKL786495 QUH786495 RED786495 RNZ786495 RXV786495 SHR786495 SRN786495 TBJ786495 TLF786495 TVB786495 UEX786495 UOT786495 UYP786495 VIL786495 VSH786495 WCD786495 WLZ786495 WVV786495 N852031 JJ852031 TF852031 ADB852031 AMX852031 AWT852031 BGP852031 BQL852031 CAH852031 CKD852031 CTZ852031 DDV852031 DNR852031 DXN852031 EHJ852031 ERF852031 FBB852031 FKX852031 FUT852031 GEP852031 GOL852031 GYH852031 HID852031 HRZ852031 IBV852031 ILR852031 IVN852031 JFJ852031 JPF852031 JZB852031 KIX852031 KST852031 LCP852031 LML852031 LWH852031 MGD852031 MPZ852031 MZV852031 NJR852031 NTN852031 ODJ852031 ONF852031 OXB852031 PGX852031 PQT852031 QAP852031 QKL852031 QUH852031 RED852031 RNZ852031 RXV852031 SHR852031 SRN852031 TBJ852031 TLF852031 TVB852031 UEX852031 UOT852031 UYP852031 VIL852031 VSH852031 WCD852031 WLZ852031 WVV852031 N917567 JJ917567 TF917567 ADB917567 AMX917567 AWT917567 BGP917567 BQL917567 CAH917567 CKD917567 CTZ917567 DDV917567 DNR917567 DXN917567 EHJ917567 ERF917567 FBB917567 FKX917567 FUT917567 GEP917567 GOL917567 GYH917567 HID917567 HRZ917567 IBV917567 ILR917567 IVN917567 JFJ917567 JPF917567 JZB917567 KIX917567 KST917567 LCP917567 LML917567 LWH917567 MGD917567 MPZ917567 MZV917567 NJR917567 NTN917567 ODJ917567 ONF917567 OXB917567 PGX917567 PQT917567 QAP917567 QKL917567 QUH917567 RED917567 RNZ917567 RXV917567 SHR917567 SRN917567 TBJ917567 TLF917567 TVB917567 UEX917567 UOT917567 UYP917567 VIL917567 VSH917567 WCD917567 WLZ917567 WVV917567 N983103 JJ983103 TF983103 ADB983103 AMX983103 AWT983103 BGP983103 BQL983103 CAH983103 CKD983103 CTZ983103 DDV983103 DNR983103 DXN983103 EHJ983103 ERF983103 FBB983103 FKX983103 FUT983103 GEP983103 GOL983103 GYH983103 HID983103 HRZ983103 IBV983103 ILR983103 IVN983103 JFJ983103 JPF983103 JZB983103 KIX983103 KST983103 LCP983103 LML983103 LWH983103 MGD983103 MPZ983103 MZV983103 NJR983103 NTN983103 ODJ983103 ONF983103 OXB983103 PGX983103 PQT983103 QAP983103 QKL983103 QUH983103 RED983103 RNZ983103 RXV983103 SHR983103 SRN983103 TBJ983103 TLF983103 TVB983103 UEX983103 UOT983103 UYP983103 VIL983103 VSH983103 WCD983103 WLZ983103 WVV983103">
      <formula1>"1000,10000"</formula1>
    </dataValidation>
    <dataValidation type="custom" allowBlank="1" showInputMessage="1" showErrorMessage="1" errorTitle="输入数值非法" error="输入范围是2~图像高度最大值，步长为2" sqref="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formula1>AND((C5&lt;=C3),(C5&gt;=2),(MOD(C5,2)=0))</formula1>
    </dataValidation>
    <dataValidation type="custom" allowBlank="1" showInputMessage="1" showErrorMessage="1" error="Input 1 or 2, and can not be entered when the 'BinningHorizontal' is not 1" sqref="B8">
      <formula1>AND(OR((B8=1),(B8=2)),B6=1)</formula1>
    </dataValidation>
    <dataValidation type="custom" allowBlank="1" showInputMessage="1" showErrorMessage="1" error="输入参数值为1或者2，并且当水平像素抽样不为1时不能输入" sqref="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formula1>AND(OR((C8=1),(C8=2)),C6=1)</formula1>
    </dataValidation>
    <dataValidation type="whole" allowBlank="1" showInputMessage="1" showErrorMessage="1" errorTitle="设置值超出范围" error="预留带宽设置值超出范围" sqref="N66 JJ66 TF66 ADB66 AMX66 AWT66 BGP66 BQL66 CAH66 CKD66 CTZ66 DDV66 DNR66 DXN66 EHJ66 ERF66 FBB66 FKX66 FUT66 GEP66 GOL66 GYH66 HID66 HRZ66 IBV66 ILR66 IVN66 JFJ66 JPF66 JZB66 KIX66 KST66 LCP66 LML66 LWH66 MGD66 MPZ66 MZV66 NJR66 NTN66 ODJ66 ONF66 OXB66 PGX66 PQT66 QAP66 QKL66 QUH66 RED66 RNZ66 RXV66 SHR66 SRN66 TBJ66 TLF66 TVB66 UEX66 UOT66 UYP66 VIL66 VSH66 WCD66 WLZ66 WVV66 N65602 JJ65602 TF65602 ADB65602 AMX65602 AWT65602 BGP65602 BQL65602 CAH65602 CKD65602 CTZ65602 DDV65602 DNR65602 DXN65602 EHJ65602 ERF65602 FBB65602 FKX65602 FUT65602 GEP65602 GOL65602 GYH65602 HID65602 HRZ65602 IBV65602 ILR65602 IVN65602 JFJ65602 JPF65602 JZB65602 KIX65602 KST65602 LCP65602 LML65602 LWH65602 MGD65602 MPZ65602 MZV65602 NJR65602 NTN65602 ODJ65602 ONF65602 OXB65602 PGX65602 PQT65602 QAP65602 QKL65602 QUH65602 RED65602 RNZ65602 RXV65602 SHR65602 SRN65602 TBJ65602 TLF65602 TVB65602 UEX65602 UOT65602 UYP65602 VIL65602 VSH65602 WCD65602 WLZ65602 WVV65602 N131138 JJ131138 TF131138 ADB131138 AMX131138 AWT131138 BGP131138 BQL131138 CAH131138 CKD131138 CTZ131138 DDV131138 DNR131138 DXN131138 EHJ131138 ERF131138 FBB131138 FKX131138 FUT131138 GEP131138 GOL131138 GYH131138 HID131138 HRZ131138 IBV131138 ILR131138 IVN131138 JFJ131138 JPF131138 JZB131138 KIX131138 KST131138 LCP131138 LML131138 LWH131138 MGD131138 MPZ131138 MZV131138 NJR131138 NTN131138 ODJ131138 ONF131138 OXB131138 PGX131138 PQT131138 QAP131138 QKL131138 QUH131138 RED131138 RNZ131138 RXV131138 SHR131138 SRN131138 TBJ131138 TLF131138 TVB131138 UEX131138 UOT131138 UYP131138 VIL131138 VSH131138 WCD131138 WLZ131138 WVV131138 N196674 JJ196674 TF196674 ADB196674 AMX196674 AWT196674 BGP196674 BQL196674 CAH196674 CKD196674 CTZ196674 DDV196674 DNR196674 DXN196674 EHJ196674 ERF196674 FBB196674 FKX196674 FUT196674 GEP196674 GOL196674 GYH196674 HID196674 HRZ196674 IBV196674 ILR196674 IVN196674 JFJ196674 JPF196674 JZB196674 KIX196674 KST196674 LCP196674 LML196674 LWH196674 MGD196674 MPZ196674 MZV196674 NJR196674 NTN196674 ODJ196674 ONF196674 OXB196674 PGX196674 PQT196674 QAP196674 QKL196674 QUH196674 RED196674 RNZ196674 RXV196674 SHR196674 SRN196674 TBJ196674 TLF196674 TVB196674 UEX196674 UOT196674 UYP196674 VIL196674 VSH196674 WCD196674 WLZ196674 WVV196674 N262210 JJ262210 TF262210 ADB262210 AMX262210 AWT262210 BGP262210 BQL262210 CAH262210 CKD262210 CTZ262210 DDV262210 DNR262210 DXN262210 EHJ262210 ERF262210 FBB262210 FKX262210 FUT262210 GEP262210 GOL262210 GYH262210 HID262210 HRZ262210 IBV262210 ILR262210 IVN262210 JFJ262210 JPF262210 JZB262210 KIX262210 KST262210 LCP262210 LML262210 LWH262210 MGD262210 MPZ262210 MZV262210 NJR262210 NTN262210 ODJ262210 ONF262210 OXB262210 PGX262210 PQT262210 QAP262210 QKL262210 QUH262210 RED262210 RNZ262210 RXV262210 SHR262210 SRN262210 TBJ262210 TLF262210 TVB262210 UEX262210 UOT262210 UYP262210 VIL262210 VSH262210 WCD262210 WLZ262210 WVV262210 N327746 JJ327746 TF327746 ADB327746 AMX327746 AWT327746 BGP327746 BQL327746 CAH327746 CKD327746 CTZ327746 DDV327746 DNR327746 DXN327746 EHJ327746 ERF327746 FBB327746 FKX327746 FUT327746 GEP327746 GOL327746 GYH327746 HID327746 HRZ327746 IBV327746 ILR327746 IVN327746 JFJ327746 JPF327746 JZB327746 KIX327746 KST327746 LCP327746 LML327746 LWH327746 MGD327746 MPZ327746 MZV327746 NJR327746 NTN327746 ODJ327746 ONF327746 OXB327746 PGX327746 PQT327746 QAP327746 QKL327746 QUH327746 RED327746 RNZ327746 RXV327746 SHR327746 SRN327746 TBJ327746 TLF327746 TVB327746 UEX327746 UOT327746 UYP327746 VIL327746 VSH327746 WCD327746 WLZ327746 WVV327746 N393282 JJ393282 TF393282 ADB393282 AMX393282 AWT393282 BGP393282 BQL393282 CAH393282 CKD393282 CTZ393282 DDV393282 DNR393282 DXN393282 EHJ393282 ERF393282 FBB393282 FKX393282 FUT393282 GEP393282 GOL393282 GYH393282 HID393282 HRZ393282 IBV393282 ILR393282 IVN393282 JFJ393282 JPF393282 JZB393282 KIX393282 KST393282 LCP393282 LML393282 LWH393282 MGD393282 MPZ393282 MZV393282 NJR393282 NTN393282 ODJ393282 ONF393282 OXB393282 PGX393282 PQT393282 QAP393282 QKL393282 QUH393282 RED393282 RNZ393282 RXV393282 SHR393282 SRN393282 TBJ393282 TLF393282 TVB393282 UEX393282 UOT393282 UYP393282 VIL393282 VSH393282 WCD393282 WLZ393282 WVV393282 N458818 JJ458818 TF458818 ADB458818 AMX458818 AWT458818 BGP458818 BQL458818 CAH458818 CKD458818 CTZ458818 DDV458818 DNR458818 DXN458818 EHJ458818 ERF458818 FBB458818 FKX458818 FUT458818 GEP458818 GOL458818 GYH458818 HID458818 HRZ458818 IBV458818 ILR458818 IVN458818 JFJ458818 JPF458818 JZB458818 KIX458818 KST458818 LCP458818 LML458818 LWH458818 MGD458818 MPZ458818 MZV458818 NJR458818 NTN458818 ODJ458818 ONF458818 OXB458818 PGX458818 PQT458818 QAP458818 QKL458818 QUH458818 RED458818 RNZ458818 RXV458818 SHR458818 SRN458818 TBJ458818 TLF458818 TVB458818 UEX458818 UOT458818 UYP458818 VIL458818 VSH458818 WCD458818 WLZ458818 WVV458818 N524354 JJ524354 TF524354 ADB524354 AMX524354 AWT524354 BGP524354 BQL524354 CAH524354 CKD524354 CTZ524354 DDV524354 DNR524354 DXN524354 EHJ524354 ERF524354 FBB524354 FKX524354 FUT524354 GEP524354 GOL524354 GYH524354 HID524354 HRZ524354 IBV524354 ILR524354 IVN524354 JFJ524354 JPF524354 JZB524354 KIX524354 KST524354 LCP524354 LML524354 LWH524354 MGD524354 MPZ524354 MZV524354 NJR524354 NTN524354 ODJ524354 ONF524354 OXB524354 PGX524354 PQT524354 QAP524354 QKL524354 QUH524354 RED524354 RNZ524354 RXV524354 SHR524354 SRN524354 TBJ524354 TLF524354 TVB524354 UEX524354 UOT524354 UYP524354 VIL524354 VSH524354 WCD524354 WLZ524354 WVV524354 N589890 JJ589890 TF589890 ADB589890 AMX589890 AWT589890 BGP589890 BQL589890 CAH589890 CKD589890 CTZ589890 DDV589890 DNR589890 DXN589890 EHJ589890 ERF589890 FBB589890 FKX589890 FUT589890 GEP589890 GOL589890 GYH589890 HID589890 HRZ589890 IBV589890 ILR589890 IVN589890 JFJ589890 JPF589890 JZB589890 KIX589890 KST589890 LCP589890 LML589890 LWH589890 MGD589890 MPZ589890 MZV589890 NJR589890 NTN589890 ODJ589890 ONF589890 OXB589890 PGX589890 PQT589890 QAP589890 QKL589890 QUH589890 RED589890 RNZ589890 RXV589890 SHR589890 SRN589890 TBJ589890 TLF589890 TVB589890 UEX589890 UOT589890 UYP589890 VIL589890 VSH589890 WCD589890 WLZ589890 WVV589890 N655426 JJ655426 TF655426 ADB655426 AMX655426 AWT655426 BGP655426 BQL655426 CAH655426 CKD655426 CTZ655426 DDV655426 DNR655426 DXN655426 EHJ655426 ERF655426 FBB655426 FKX655426 FUT655426 GEP655426 GOL655426 GYH655426 HID655426 HRZ655426 IBV655426 ILR655426 IVN655426 JFJ655426 JPF655426 JZB655426 KIX655426 KST655426 LCP655426 LML655426 LWH655426 MGD655426 MPZ655426 MZV655426 NJR655426 NTN655426 ODJ655426 ONF655426 OXB655426 PGX655426 PQT655426 QAP655426 QKL655426 QUH655426 RED655426 RNZ655426 RXV655426 SHR655426 SRN655426 TBJ655426 TLF655426 TVB655426 UEX655426 UOT655426 UYP655426 VIL655426 VSH655426 WCD655426 WLZ655426 WVV655426 N720962 JJ720962 TF720962 ADB720962 AMX720962 AWT720962 BGP720962 BQL720962 CAH720962 CKD720962 CTZ720962 DDV720962 DNR720962 DXN720962 EHJ720962 ERF720962 FBB720962 FKX720962 FUT720962 GEP720962 GOL720962 GYH720962 HID720962 HRZ720962 IBV720962 ILR720962 IVN720962 JFJ720962 JPF720962 JZB720962 KIX720962 KST720962 LCP720962 LML720962 LWH720962 MGD720962 MPZ720962 MZV720962 NJR720962 NTN720962 ODJ720962 ONF720962 OXB720962 PGX720962 PQT720962 QAP720962 QKL720962 QUH720962 RED720962 RNZ720962 RXV720962 SHR720962 SRN720962 TBJ720962 TLF720962 TVB720962 UEX720962 UOT720962 UYP720962 VIL720962 VSH720962 WCD720962 WLZ720962 WVV720962 N786498 JJ786498 TF786498 ADB786498 AMX786498 AWT786498 BGP786498 BQL786498 CAH786498 CKD786498 CTZ786498 DDV786498 DNR786498 DXN786498 EHJ786498 ERF786498 FBB786498 FKX786498 FUT786498 GEP786498 GOL786498 GYH786498 HID786498 HRZ786498 IBV786498 ILR786498 IVN786498 JFJ786498 JPF786498 JZB786498 KIX786498 KST786498 LCP786498 LML786498 LWH786498 MGD786498 MPZ786498 MZV786498 NJR786498 NTN786498 ODJ786498 ONF786498 OXB786498 PGX786498 PQT786498 QAP786498 QKL786498 QUH786498 RED786498 RNZ786498 RXV786498 SHR786498 SRN786498 TBJ786498 TLF786498 TVB786498 UEX786498 UOT786498 UYP786498 VIL786498 VSH786498 WCD786498 WLZ786498 WVV786498 N852034 JJ852034 TF852034 ADB852034 AMX852034 AWT852034 BGP852034 BQL852034 CAH852034 CKD852034 CTZ852034 DDV852034 DNR852034 DXN852034 EHJ852034 ERF852034 FBB852034 FKX852034 FUT852034 GEP852034 GOL852034 GYH852034 HID852034 HRZ852034 IBV852034 ILR852034 IVN852034 JFJ852034 JPF852034 JZB852034 KIX852034 KST852034 LCP852034 LML852034 LWH852034 MGD852034 MPZ852034 MZV852034 NJR852034 NTN852034 ODJ852034 ONF852034 OXB852034 PGX852034 PQT852034 QAP852034 QKL852034 QUH852034 RED852034 RNZ852034 RXV852034 SHR852034 SRN852034 TBJ852034 TLF852034 TVB852034 UEX852034 UOT852034 UYP852034 VIL852034 VSH852034 WCD852034 WLZ852034 WVV852034 N917570 JJ917570 TF917570 ADB917570 AMX917570 AWT917570 BGP917570 BQL917570 CAH917570 CKD917570 CTZ917570 DDV917570 DNR917570 DXN917570 EHJ917570 ERF917570 FBB917570 FKX917570 FUT917570 GEP917570 GOL917570 GYH917570 HID917570 HRZ917570 IBV917570 ILR917570 IVN917570 JFJ917570 JPF917570 JZB917570 KIX917570 KST917570 LCP917570 LML917570 LWH917570 MGD917570 MPZ917570 MZV917570 NJR917570 NTN917570 ODJ917570 ONF917570 OXB917570 PGX917570 PQT917570 QAP917570 QKL917570 QUH917570 RED917570 RNZ917570 RXV917570 SHR917570 SRN917570 TBJ917570 TLF917570 TVB917570 UEX917570 UOT917570 UYP917570 VIL917570 VSH917570 WCD917570 WLZ917570 WVV917570 N983106 JJ983106 TF983106 ADB983106 AMX983106 AWT983106 BGP983106 BQL983106 CAH983106 CKD983106 CTZ983106 DDV983106 DNR983106 DXN983106 EHJ983106 ERF983106 FBB983106 FKX983106 FUT983106 GEP983106 GOL983106 GYH983106 HID983106 HRZ983106 IBV983106 ILR983106 IVN983106 JFJ983106 JPF983106 JZB983106 KIX983106 KST983106 LCP983106 LML983106 LWH983106 MGD983106 MPZ983106 MZV983106 NJR983106 NTN983106 ODJ983106 ONF983106 OXB983106 PGX983106 PQT983106 QAP983106 QKL983106 QUH983106 RED983106 RNZ983106 RXV983106 SHR983106 SRN983106 TBJ983106 TLF983106 TVB983106 UEX983106 UOT983106 UYP983106 VIL983106 VSH983106 WCD983106 WLZ983106 WVV983106">
      <formula1>0</formula1>
      <formula2>T62</formula2>
    </dataValidation>
    <dataValidation type="custom" allowBlank="1" showInputMessage="1" showErrorMessage="1" error="输入参数值为1或者2" sqref="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formula1>OR((C9=1),(C9=2))</formula1>
    </dataValidation>
    <dataValidation type="whole" allowBlank="1" showInputMessage="1" showErrorMessage="1" errorTitle="超出范围" error="The input range :[14,1000000]" sqref="B10">
      <formula1>14</formula1>
      <formula2>1000000</formula2>
    </dataValidation>
    <dataValidation type="custom" allowBlank="1" showInputMessage="1" showErrorMessage="1" error="输入参数值为1或者2，并且当水平像素抽样不为1时不能输入" sqref="C65542:C65543 C131078:C131079 C196614:C196615 C262150:C262151 C327686:C327687 C393222:C393223 C458758:C458759 C524294:C524295 C589830:C589831 C655366:C655367 C720902:C720903 C786438:C786439 C851974:C851975 C917510:C917511 C983046:C983047 IX6:IX7 IY65542:IY65543 IY131078:IY131079 IY196614:IY196615 IY262150:IY262151 IY327686:IY327687 IY393222:IY393223 IY458758:IY458759 IY524294:IY524295 IY589830:IY589831 IY655366:IY655367 IY720902:IY720903 IY786438:IY786439 IY851974:IY851975 IY917510:IY917511 IY983046:IY983047 ST6:ST7 SU65542:SU65543 SU131078:SU131079 SU196614:SU196615 SU262150:SU262151 SU327686:SU327687 SU393222:SU393223 SU458758:SU458759 SU524294:SU524295 SU589830:SU589831 SU655366:SU655367 SU720902:SU720903 SU786438:SU786439 SU851974:SU851975 SU917510:SU917511 SU983046:SU983047 ACP6:ACP7 ACQ65542:ACQ65543 ACQ131078:ACQ131079 ACQ196614:ACQ196615 ACQ262150:ACQ262151 ACQ327686:ACQ327687 ACQ393222:ACQ393223 ACQ458758:ACQ458759 ACQ524294:ACQ524295 ACQ589830:ACQ589831 ACQ655366:ACQ655367 ACQ720902:ACQ720903 ACQ786438:ACQ786439 ACQ851974:ACQ851975 ACQ917510:ACQ917511 ACQ983046:ACQ983047 AML6:AML7 AMM65542:AMM65543 AMM131078:AMM131079 AMM196614:AMM196615 AMM262150:AMM262151 AMM327686:AMM327687 AMM393222:AMM393223 AMM458758:AMM458759 AMM524294:AMM524295 AMM589830:AMM589831 AMM655366:AMM655367 AMM720902:AMM720903 AMM786438:AMM786439 AMM851974:AMM851975 AMM917510:AMM917511 AMM983046:AMM983047 AWH6:AWH7 AWI65542:AWI65543 AWI131078:AWI131079 AWI196614:AWI196615 AWI262150:AWI262151 AWI327686:AWI327687 AWI393222:AWI393223 AWI458758:AWI458759 AWI524294:AWI524295 AWI589830:AWI589831 AWI655366:AWI655367 AWI720902:AWI720903 AWI786438:AWI786439 AWI851974:AWI851975 AWI917510:AWI917511 AWI983046:AWI983047 BGD6:BGD7 BGE65542:BGE65543 BGE131078:BGE131079 BGE196614:BGE196615 BGE262150:BGE262151 BGE327686:BGE327687 BGE393222:BGE393223 BGE458758:BGE458759 BGE524294:BGE524295 BGE589830:BGE589831 BGE655366:BGE655367 BGE720902:BGE720903 BGE786438:BGE786439 BGE851974:BGE851975 BGE917510:BGE917511 BGE983046:BGE983047 BPZ6:BPZ7 BQA65542:BQA65543 BQA131078:BQA131079 BQA196614:BQA196615 BQA262150:BQA262151 BQA327686:BQA327687 BQA393222:BQA393223 BQA458758:BQA458759 BQA524294:BQA524295 BQA589830:BQA589831 BQA655366:BQA655367 BQA720902:BQA720903 BQA786438:BQA786439 BQA851974:BQA851975 BQA917510:BQA917511 BQA983046:BQA983047 BZV6:BZV7 BZW65542:BZW65543 BZW131078:BZW131079 BZW196614:BZW196615 BZW262150:BZW262151 BZW327686:BZW327687 BZW393222:BZW393223 BZW458758:BZW458759 BZW524294:BZW524295 BZW589830:BZW589831 BZW655366:BZW655367 BZW720902:BZW720903 BZW786438:BZW786439 BZW851974:BZW851975 BZW917510:BZW917511 BZW983046:BZW983047 CJR6:CJR7 CJS65542:CJS65543 CJS131078:CJS131079 CJS196614:CJS196615 CJS262150:CJS262151 CJS327686:CJS327687 CJS393222:CJS393223 CJS458758:CJS458759 CJS524294:CJS524295 CJS589830:CJS589831 CJS655366:CJS655367 CJS720902:CJS720903 CJS786438:CJS786439 CJS851974:CJS851975 CJS917510:CJS917511 CJS983046:CJS983047 CTN6:CTN7 CTO65542:CTO65543 CTO131078:CTO131079 CTO196614:CTO196615 CTO262150:CTO262151 CTO327686:CTO327687 CTO393222:CTO393223 CTO458758:CTO458759 CTO524294:CTO524295 CTO589830:CTO589831 CTO655366:CTO655367 CTO720902:CTO720903 CTO786438:CTO786439 CTO851974:CTO851975 CTO917510:CTO917511 CTO983046:CTO983047 DDJ6:DDJ7 DDK65542:DDK65543 DDK131078:DDK131079 DDK196614:DDK196615 DDK262150:DDK262151 DDK327686:DDK327687 DDK393222:DDK393223 DDK458758:DDK458759 DDK524294:DDK524295 DDK589830:DDK589831 DDK655366:DDK655367 DDK720902:DDK720903 DDK786438:DDK786439 DDK851974:DDK851975 DDK917510:DDK917511 DDK983046:DDK983047 DNF6:DNF7 DNG65542:DNG65543 DNG131078:DNG131079 DNG196614:DNG196615 DNG262150:DNG262151 DNG327686:DNG327687 DNG393222:DNG393223 DNG458758:DNG458759 DNG524294:DNG524295 DNG589830:DNG589831 DNG655366:DNG655367 DNG720902:DNG720903 DNG786438:DNG786439 DNG851974:DNG851975 DNG917510:DNG917511 DNG983046:DNG983047 DXB6:DXB7 DXC65542:DXC65543 DXC131078:DXC131079 DXC196614:DXC196615 DXC262150:DXC262151 DXC327686:DXC327687 DXC393222:DXC393223 DXC458758:DXC458759 DXC524294:DXC524295 DXC589830:DXC589831 DXC655366:DXC655367 DXC720902:DXC720903 DXC786438:DXC786439 DXC851974:DXC851975 DXC917510:DXC917511 DXC983046:DXC983047 EGX6:EGX7 EGY65542:EGY65543 EGY131078:EGY131079 EGY196614:EGY196615 EGY262150:EGY262151 EGY327686:EGY327687 EGY393222:EGY393223 EGY458758:EGY458759 EGY524294:EGY524295 EGY589830:EGY589831 EGY655366:EGY655367 EGY720902:EGY720903 EGY786438:EGY786439 EGY851974:EGY851975 EGY917510:EGY917511 EGY983046:EGY983047 EQT6:EQT7 EQU65542:EQU65543 EQU131078:EQU131079 EQU196614:EQU196615 EQU262150:EQU262151 EQU327686:EQU327687 EQU393222:EQU393223 EQU458758:EQU458759 EQU524294:EQU524295 EQU589830:EQU589831 EQU655366:EQU655367 EQU720902:EQU720903 EQU786438:EQU786439 EQU851974:EQU851975 EQU917510:EQU917511 EQU983046:EQU983047 FAP6:FAP7 FAQ65542:FAQ65543 FAQ131078:FAQ131079 FAQ196614:FAQ196615 FAQ262150:FAQ262151 FAQ327686:FAQ327687 FAQ393222:FAQ393223 FAQ458758:FAQ458759 FAQ524294:FAQ524295 FAQ589830:FAQ589831 FAQ655366:FAQ655367 FAQ720902:FAQ720903 FAQ786438:FAQ786439 FAQ851974:FAQ851975 FAQ917510:FAQ917511 FAQ983046:FAQ983047 FKL6:FKL7 FKM65542:FKM65543 FKM131078:FKM131079 FKM196614:FKM196615 FKM262150:FKM262151 FKM327686:FKM327687 FKM393222:FKM393223 FKM458758:FKM458759 FKM524294:FKM524295 FKM589830:FKM589831 FKM655366:FKM655367 FKM720902:FKM720903 FKM786438:FKM786439 FKM851974:FKM851975 FKM917510:FKM917511 FKM983046:FKM983047 FUH6:FUH7 FUI65542:FUI65543 FUI131078:FUI131079 FUI196614:FUI196615 FUI262150:FUI262151 FUI327686:FUI327687 FUI393222:FUI393223 FUI458758:FUI458759 FUI524294:FUI524295 FUI589830:FUI589831 FUI655366:FUI655367 FUI720902:FUI720903 FUI786438:FUI786439 FUI851974:FUI851975 FUI917510:FUI917511 FUI983046:FUI983047 GED6:GED7 GEE65542:GEE65543 GEE131078:GEE131079 GEE196614:GEE196615 GEE262150:GEE262151 GEE327686:GEE327687 GEE393222:GEE393223 GEE458758:GEE458759 GEE524294:GEE524295 GEE589830:GEE589831 GEE655366:GEE655367 GEE720902:GEE720903 GEE786438:GEE786439 GEE851974:GEE851975 GEE917510:GEE917511 GEE983046:GEE983047 GNZ6:GNZ7 GOA65542:GOA65543 GOA131078:GOA131079 GOA196614:GOA196615 GOA262150:GOA262151 GOA327686:GOA327687 GOA393222:GOA393223 GOA458758:GOA458759 GOA524294:GOA524295 GOA589830:GOA589831 GOA655366:GOA655367 GOA720902:GOA720903 GOA786438:GOA786439 GOA851974:GOA851975 GOA917510:GOA917511 GOA983046:GOA983047 GXV6:GXV7 GXW65542:GXW65543 GXW131078:GXW131079 GXW196614:GXW196615 GXW262150:GXW262151 GXW327686:GXW327687 GXW393222:GXW393223 GXW458758:GXW458759 GXW524294:GXW524295 GXW589830:GXW589831 GXW655366:GXW655367 GXW720902:GXW720903 GXW786438:GXW786439 GXW851974:GXW851975 GXW917510:GXW917511 GXW983046:GXW983047 HHR6:HHR7 HHS65542:HHS65543 HHS131078:HHS131079 HHS196614:HHS196615 HHS262150:HHS262151 HHS327686:HHS327687 HHS393222:HHS393223 HHS458758:HHS458759 HHS524294:HHS524295 HHS589830:HHS589831 HHS655366:HHS655367 HHS720902:HHS720903 HHS786438:HHS786439 HHS851974:HHS851975 HHS917510:HHS917511 HHS983046:HHS983047 HRN6:HRN7 HRO65542:HRO65543 HRO131078:HRO131079 HRO196614:HRO196615 HRO262150:HRO262151 HRO327686:HRO327687 HRO393222:HRO393223 HRO458758:HRO458759 HRO524294:HRO524295 HRO589830:HRO589831 HRO655366:HRO655367 HRO720902:HRO720903 HRO786438:HRO786439 HRO851974:HRO851975 HRO917510:HRO917511 HRO983046:HRO983047 IBJ6:IBJ7 IBK65542:IBK65543 IBK131078:IBK131079 IBK196614:IBK196615 IBK262150:IBK262151 IBK327686:IBK327687 IBK393222:IBK393223 IBK458758:IBK458759 IBK524294:IBK524295 IBK589830:IBK589831 IBK655366:IBK655367 IBK720902:IBK720903 IBK786438:IBK786439 IBK851974:IBK851975 IBK917510:IBK917511 IBK983046:IBK983047 ILF6:ILF7 ILG65542:ILG65543 ILG131078:ILG131079 ILG196614:ILG196615 ILG262150:ILG262151 ILG327686:ILG327687 ILG393222:ILG393223 ILG458758:ILG458759 ILG524294:ILG524295 ILG589830:ILG589831 ILG655366:ILG655367 ILG720902:ILG720903 ILG786438:ILG786439 ILG851974:ILG851975 ILG917510:ILG917511 ILG983046:ILG983047 IVB6:IVB7 IVC65542:IVC65543 IVC131078:IVC131079 IVC196614:IVC196615 IVC262150:IVC262151 IVC327686:IVC327687 IVC393222:IVC393223 IVC458758:IVC458759 IVC524294:IVC524295 IVC589830:IVC589831 IVC655366:IVC655367 IVC720902:IVC720903 IVC786438:IVC786439 IVC851974:IVC851975 IVC917510:IVC917511 IVC983046:IVC983047 JEX6:JEX7 JEY65542:JEY65543 JEY131078:JEY131079 JEY196614:JEY196615 JEY262150:JEY262151 JEY327686:JEY327687 JEY393222:JEY393223 JEY458758:JEY458759 JEY524294:JEY524295 JEY589830:JEY589831 JEY655366:JEY655367 JEY720902:JEY720903 JEY786438:JEY786439 JEY851974:JEY851975 JEY917510:JEY917511 JEY983046:JEY983047 JOT6:JOT7 JOU65542:JOU65543 JOU131078:JOU131079 JOU196614:JOU196615 JOU262150:JOU262151 JOU327686:JOU327687 JOU393222:JOU393223 JOU458758:JOU458759 JOU524294:JOU524295 JOU589830:JOU589831 JOU655366:JOU655367 JOU720902:JOU720903 JOU786438:JOU786439 JOU851974:JOU851975 JOU917510:JOU917511 JOU983046:JOU983047 JYP6:JYP7 JYQ65542:JYQ65543 JYQ131078:JYQ131079 JYQ196614:JYQ196615 JYQ262150:JYQ262151 JYQ327686:JYQ327687 JYQ393222:JYQ393223 JYQ458758:JYQ458759 JYQ524294:JYQ524295 JYQ589830:JYQ589831 JYQ655366:JYQ655367 JYQ720902:JYQ720903 JYQ786438:JYQ786439 JYQ851974:JYQ851975 JYQ917510:JYQ917511 JYQ983046:JYQ983047 KIL6:KIL7 KIM65542:KIM65543 KIM131078:KIM131079 KIM196614:KIM196615 KIM262150:KIM262151 KIM327686:KIM327687 KIM393222:KIM393223 KIM458758:KIM458759 KIM524294:KIM524295 KIM589830:KIM589831 KIM655366:KIM655367 KIM720902:KIM720903 KIM786438:KIM786439 KIM851974:KIM851975 KIM917510:KIM917511 KIM983046:KIM983047 KSH6:KSH7 KSI65542:KSI65543 KSI131078:KSI131079 KSI196614:KSI196615 KSI262150:KSI262151 KSI327686:KSI327687 KSI393222:KSI393223 KSI458758:KSI458759 KSI524294:KSI524295 KSI589830:KSI589831 KSI655366:KSI655367 KSI720902:KSI720903 KSI786438:KSI786439 KSI851974:KSI851975 KSI917510:KSI917511 KSI983046:KSI983047 LCD6:LCD7 LCE65542:LCE65543 LCE131078:LCE131079 LCE196614:LCE196615 LCE262150:LCE262151 LCE327686:LCE327687 LCE393222:LCE393223 LCE458758:LCE458759 LCE524294:LCE524295 LCE589830:LCE589831 LCE655366:LCE655367 LCE720902:LCE720903 LCE786438:LCE786439 LCE851974:LCE851975 LCE917510:LCE917511 LCE983046:LCE983047 LLZ6:LLZ7 LMA65542:LMA65543 LMA131078:LMA131079 LMA196614:LMA196615 LMA262150:LMA262151 LMA327686:LMA327687 LMA393222:LMA393223 LMA458758:LMA458759 LMA524294:LMA524295 LMA589830:LMA589831 LMA655366:LMA655367 LMA720902:LMA720903 LMA786438:LMA786439 LMA851974:LMA851975 LMA917510:LMA917511 LMA983046:LMA983047 LVV6:LVV7 LVW65542:LVW65543 LVW131078:LVW131079 LVW196614:LVW196615 LVW262150:LVW262151 LVW327686:LVW327687 LVW393222:LVW393223 LVW458758:LVW458759 LVW524294:LVW524295 LVW589830:LVW589831 LVW655366:LVW655367 LVW720902:LVW720903 LVW786438:LVW786439 LVW851974:LVW851975 LVW917510:LVW917511 LVW983046:LVW983047 MFR6:MFR7 MFS65542:MFS65543 MFS131078:MFS131079 MFS196614:MFS196615 MFS262150:MFS262151 MFS327686:MFS327687 MFS393222:MFS393223 MFS458758:MFS458759 MFS524294:MFS524295 MFS589830:MFS589831 MFS655366:MFS655367 MFS720902:MFS720903 MFS786438:MFS786439 MFS851974:MFS851975 MFS917510:MFS917511 MFS983046:MFS983047 MPN6:MPN7 MPO65542:MPO65543 MPO131078:MPO131079 MPO196614:MPO196615 MPO262150:MPO262151 MPO327686:MPO327687 MPO393222:MPO393223 MPO458758:MPO458759 MPO524294:MPO524295 MPO589830:MPO589831 MPO655366:MPO655367 MPO720902:MPO720903 MPO786438:MPO786439 MPO851974:MPO851975 MPO917510:MPO917511 MPO983046:MPO983047 MZJ6:MZJ7 MZK65542:MZK65543 MZK131078:MZK131079 MZK196614:MZK196615 MZK262150:MZK262151 MZK327686:MZK327687 MZK393222:MZK393223 MZK458758:MZK458759 MZK524294:MZK524295 MZK589830:MZK589831 MZK655366:MZK655367 MZK720902:MZK720903 MZK786438:MZK786439 MZK851974:MZK851975 MZK917510:MZK917511 MZK983046:MZK983047 NJF6:NJF7 NJG65542:NJG65543 NJG131078:NJG131079 NJG196614:NJG196615 NJG262150:NJG262151 NJG327686:NJG327687 NJG393222:NJG393223 NJG458758:NJG458759 NJG524294:NJG524295 NJG589830:NJG589831 NJG655366:NJG655367 NJG720902:NJG720903 NJG786438:NJG786439 NJG851974:NJG851975 NJG917510:NJG917511 NJG983046:NJG983047 NTB6:NTB7 NTC65542:NTC65543 NTC131078:NTC131079 NTC196614:NTC196615 NTC262150:NTC262151 NTC327686:NTC327687 NTC393222:NTC393223 NTC458758:NTC458759 NTC524294:NTC524295 NTC589830:NTC589831 NTC655366:NTC655367 NTC720902:NTC720903 NTC786438:NTC786439 NTC851974:NTC851975 NTC917510:NTC917511 NTC983046:NTC983047 OCX6:OCX7 OCY65542:OCY65543 OCY131078:OCY131079 OCY196614:OCY196615 OCY262150:OCY262151 OCY327686:OCY327687 OCY393222:OCY393223 OCY458758:OCY458759 OCY524294:OCY524295 OCY589830:OCY589831 OCY655366:OCY655367 OCY720902:OCY720903 OCY786438:OCY786439 OCY851974:OCY851975 OCY917510:OCY917511 OCY983046:OCY983047 OMT6:OMT7 OMU65542:OMU65543 OMU131078:OMU131079 OMU196614:OMU196615 OMU262150:OMU262151 OMU327686:OMU327687 OMU393222:OMU393223 OMU458758:OMU458759 OMU524294:OMU524295 OMU589830:OMU589831 OMU655366:OMU655367 OMU720902:OMU720903 OMU786438:OMU786439 OMU851974:OMU851975 OMU917510:OMU917511 OMU983046:OMU983047 OWP6:OWP7 OWQ65542:OWQ65543 OWQ131078:OWQ131079 OWQ196614:OWQ196615 OWQ262150:OWQ262151 OWQ327686:OWQ327687 OWQ393222:OWQ393223 OWQ458758:OWQ458759 OWQ524294:OWQ524295 OWQ589830:OWQ589831 OWQ655366:OWQ655367 OWQ720902:OWQ720903 OWQ786438:OWQ786439 OWQ851974:OWQ851975 OWQ917510:OWQ917511 OWQ983046:OWQ983047 PGL6:PGL7 PGM65542:PGM65543 PGM131078:PGM131079 PGM196614:PGM196615 PGM262150:PGM262151 PGM327686:PGM327687 PGM393222:PGM393223 PGM458758:PGM458759 PGM524294:PGM524295 PGM589830:PGM589831 PGM655366:PGM655367 PGM720902:PGM720903 PGM786438:PGM786439 PGM851974:PGM851975 PGM917510:PGM917511 PGM983046:PGM983047 PQH6:PQH7 PQI65542:PQI65543 PQI131078:PQI131079 PQI196614:PQI196615 PQI262150:PQI262151 PQI327686:PQI327687 PQI393222:PQI393223 PQI458758:PQI458759 PQI524294:PQI524295 PQI589830:PQI589831 PQI655366:PQI655367 PQI720902:PQI720903 PQI786438:PQI786439 PQI851974:PQI851975 PQI917510:PQI917511 PQI983046:PQI983047 QAD6:QAD7 QAE65542:QAE65543 QAE131078:QAE131079 QAE196614:QAE196615 QAE262150:QAE262151 QAE327686:QAE327687 QAE393222:QAE393223 QAE458758:QAE458759 QAE524294:QAE524295 QAE589830:QAE589831 QAE655366:QAE655367 QAE720902:QAE720903 QAE786438:QAE786439 QAE851974:QAE851975 QAE917510:QAE917511 QAE983046:QAE983047 QJZ6:QJZ7 QKA65542:QKA65543 QKA131078:QKA131079 QKA196614:QKA196615 QKA262150:QKA262151 QKA327686:QKA327687 QKA393222:QKA393223 QKA458758:QKA458759 QKA524294:QKA524295 QKA589830:QKA589831 QKA655366:QKA655367 QKA720902:QKA720903 QKA786438:QKA786439 QKA851974:QKA851975 QKA917510:QKA917511 QKA983046:QKA983047 QTV6:QTV7 QTW65542:QTW65543 QTW131078:QTW131079 QTW196614:QTW196615 QTW262150:QTW262151 QTW327686:QTW327687 QTW393222:QTW393223 QTW458758:QTW458759 QTW524294:QTW524295 QTW589830:QTW589831 QTW655366:QTW655367 QTW720902:QTW720903 QTW786438:QTW786439 QTW851974:QTW851975 QTW917510:QTW917511 QTW983046:QTW983047 RDR6:RDR7 RDS65542:RDS65543 RDS131078:RDS131079 RDS196614:RDS196615 RDS262150:RDS262151 RDS327686:RDS327687 RDS393222:RDS393223 RDS458758:RDS458759 RDS524294:RDS524295 RDS589830:RDS589831 RDS655366:RDS655367 RDS720902:RDS720903 RDS786438:RDS786439 RDS851974:RDS851975 RDS917510:RDS917511 RDS983046:RDS983047 RNN6:RNN7 RNO65542:RNO65543 RNO131078:RNO131079 RNO196614:RNO196615 RNO262150:RNO262151 RNO327686:RNO327687 RNO393222:RNO393223 RNO458758:RNO458759 RNO524294:RNO524295 RNO589830:RNO589831 RNO655366:RNO655367 RNO720902:RNO720903 RNO786438:RNO786439 RNO851974:RNO851975 RNO917510:RNO917511 RNO983046:RNO983047 RXJ6:RXJ7 RXK65542:RXK65543 RXK131078:RXK131079 RXK196614:RXK196615 RXK262150:RXK262151 RXK327686:RXK327687 RXK393222:RXK393223 RXK458758:RXK458759 RXK524294:RXK524295 RXK589830:RXK589831 RXK655366:RXK655367 RXK720902:RXK720903 RXK786438:RXK786439 RXK851974:RXK851975 RXK917510:RXK917511 RXK983046:RXK983047 SHF6:SHF7 SHG65542:SHG65543 SHG131078:SHG131079 SHG196614:SHG196615 SHG262150:SHG262151 SHG327686:SHG327687 SHG393222:SHG393223 SHG458758:SHG458759 SHG524294:SHG524295 SHG589830:SHG589831 SHG655366:SHG655367 SHG720902:SHG720903 SHG786438:SHG786439 SHG851974:SHG851975 SHG917510:SHG917511 SHG983046:SHG983047 SRB6:SRB7 SRC65542:SRC65543 SRC131078:SRC131079 SRC196614:SRC196615 SRC262150:SRC262151 SRC327686:SRC327687 SRC393222:SRC393223 SRC458758:SRC458759 SRC524294:SRC524295 SRC589830:SRC589831 SRC655366:SRC655367 SRC720902:SRC720903 SRC786438:SRC786439 SRC851974:SRC851975 SRC917510:SRC917511 SRC983046:SRC983047 TAX6:TAX7 TAY65542:TAY65543 TAY131078:TAY131079 TAY196614:TAY196615 TAY262150:TAY262151 TAY327686:TAY327687 TAY393222:TAY393223 TAY458758:TAY458759 TAY524294:TAY524295 TAY589830:TAY589831 TAY655366:TAY655367 TAY720902:TAY720903 TAY786438:TAY786439 TAY851974:TAY851975 TAY917510:TAY917511 TAY983046:TAY983047 TKT6:TKT7 TKU65542:TKU65543 TKU131078:TKU131079 TKU196614:TKU196615 TKU262150:TKU262151 TKU327686:TKU327687 TKU393222:TKU393223 TKU458758:TKU458759 TKU524294:TKU524295 TKU589830:TKU589831 TKU655366:TKU655367 TKU720902:TKU720903 TKU786438:TKU786439 TKU851974:TKU851975 TKU917510:TKU917511 TKU983046:TKU983047 TUP6:TUP7 TUQ65542:TUQ65543 TUQ131078:TUQ131079 TUQ196614:TUQ196615 TUQ262150:TUQ262151 TUQ327686:TUQ327687 TUQ393222:TUQ393223 TUQ458758:TUQ458759 TUQ524294:TUQ524295 TUQ589830:TUQ589831 TUQ655366:TUQ655367 TUQ720902:TUQ720903 TUQ786438:TUQ786439 TUQ851974:TUQ851975 TUQ917510:TUQ917511 TUQ983046:TUQ983047 UEL6:UEL7 UEM65542:UEM65543 UEM131078:UEM131079 UEM196614:UEM196615 UEM262150:UEM262151 UEM327686:UEM327687 UEM393222:UEM393223 UEM458758:UEM458759 UEM524294:UEM524295 UEM589830:UEM589831 UEM655366:UEM655367 UEM720902:UEM720903 UEM786438:UEM786439 UEM851974:UEM851975 UEM917510:UEM917511 UEM983046:UEM983047 UOH6:UOH7 UOI65542:UOI65543 UOI131078:UOI131079 UOI196614:UOI196615 UOI262150:UOI262151 UOI327686:UOI327687 UOI393222:UOI393223 UOI458758:UOI458759 UOI524294:UOI524295 UOI589830:UOI589831 UOI655366:UOI655367 UOI720902:UOI720903 UOI786438:UOI786439 UOI851974:UOI851975 UOI917510:UOI917511 UOI983046:UOI983047 UYD6:UYD7 UYE65542:UYE65543 UYE131078:UYE131079 UYE196614:UYE196615 UYE262150:UYE262151 UYE327686:UYE327687 UYE393222:UYE393223 UYE458758:UYE458759 UYE524294:UYE524295 UYE589830:UYE589831 UYE655366:UYE655367 UYE720902:UYE720903 UYE786438:UYE786439 UYE851974:UYE851975 UYE917510:UYE917511 UYE983046:UYE983047 VHZ6:VHZ7 VIA65542:VIA65543 VIA131078:VIA131079 VIA196614:VIA196615 VIA262150:VIA262151 VIA327686:VIA327687 VIA393222:VIA393223 VIA458758:VIA458759 VIA524294:VIA524295 VIA589830:VIA589831 VIA655366:VIA655367 VIA720902:VIA720903 VIA786438:VIA786439 VIA851974:VIA851975 VIA917510:VIA917511 VIA983046:VIA983047 VRV6:VRV7 VRW65542:VRW65543 VRW131078:VRW131079 VRW196614:VRW196615 VRW262150:VRW262151 VRW327686:VRW327687 VRW393222:VRW393223 VRW458758:VRW458759 VRW524294:VRW524295 VRW589830:VRW589831 VRW655366:VRW655367 VRW720902:VRW720903 VRW786438:VRW786439 VRW851974:VRW851975 VRW917510:VRW917511 VRW983046:VRW983047 WBR6:WBR7 WBS65542:WBS65543 WBS131078:WBS131079 WBS196614:WBS196615 WBS262150:WBS262151 WBS327686:WBS327687 WBS393222:WBS393223 WBS458758:WBS458759 WBS524294:WBS524295 WBS589830:WBS589831 WBS655366:WBS655367 WBS720902:WBS720903 WBS786438:WBS786439 WBS851974:WBS851975 WBS917510:WBS917511 WBS983046:WBS983047 WLN6:WLN7 WLO65542:WLO65543 WLO131078:WLO131079 WLO196614:WLO196615 WLO262150:WLO262151 WLO327686:WLO327687 WLO393222:WLO393223 WLO458758:WLO458759 WLO524294:WLO524295 WLO589830:WLO589831 WLO655366:WLO655367 WLO720902:WLO720903 WLO786438:WLO786439 WLO851974:WLO851975 WLO917510:WLO917511 WLO983046:WLO983047 WVJ6:WVJ7 WVK65542:WVK65543 WVK131078:WVK131079 WVK196614:WVK196615 WVK262150:WVK262151 WVK327686:WVK327687 WVK393222:WVK393223 WVK458758:WVK458759 WVK524294:WVK524295 WVK589830:WVK589831 WVK655366:WVK655367 WVK720902:WVK720903 WVK786438:WVK786439 WVK851974:WVK851975 WVK917510:WVK917511 WVK983046:WVK983047">
      <formula1>AND(OR((C6=1),(C6=2)),C8=1)</formula1>
    </dataValidation>
    <dataValidation type="whole" allowBlank="1" showInputMessage="1" showErrorMessage="1" errorTitle="超出范围" error="曝光时间的范围是14us-1s" sqref="IX10 ST10 ACP10 AML10 AWH10 BGD10 BPZ10 BZV10 CJR10 CTN10 DDJ10 DNF10 DXB10 EGX10 EQT10 FAP10 FKL10 FUH10 GED10 GNZ10 GXV10 HHR10 HRN10 IBJ10 ILF10 IVB10 JEX10 JOT10 JYP10 KIL10 KSH10 LCD10 LLZ10 LVV10 MFR10 MPN10 MZJ10 NJF10 NTB10 OCX10 OMT10 OWP10 PGL10 PQH10 QAD10 QJZ10 QTV10 RDR10 RNN10 RXJ10 SHF10 SRB10 TAX10 TKT10 TUP10 UEL10 UOH10 UYD10 VHZ10 VRV10 WBR10 WLN10 WVJ10 N44 JJ44 TF44 ADB44 AMX44 AWT44 BGP44 BQL44 CAH44 CKD44 CTZ44 DDV44 DNR44 DXN44 EHJ44 ERF44 FBB44 FKX44 FUT44 GEP44 GOL44 GYH44 HID44 HRZ44 IBV44 ILR44 IVN44 JFJ44 JPF44 JZB44 KIX44 KST44 LCP44 LML44 LWH44 MGD44 MPZ44 MZV44 NJR44 NTN44 ODJ44 ONF44 OXB44 PGX44 PQT44 QAP44 QKL44 QUH44 RED44 RNZ44 RXV44 SHR44 SRN44 TBJ44 TLF44 TVB44 UEX44 UOT44 UYP44 VIL44 VSH44 WCD44 WLZ44 WVV44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N65580 JJ65580 TF65580 ADB65580 AMX65580 AWT65580 BGP65580 BQL65580 CAH65580 CKD65580 CTZ65580 DDV65580 DNR65580 DXN65580 EHJ65580 ERF65580 FBB65580 FKX65580 FUT65580 GEP65580 GOL65580 GYH65580 HID65580 HRZ65580 IBV65580 ILR65580 IVN65580 JFJ65580 JPF65580 JZB65580 KIX65580 KST65580 LCP65580 LML65580 LWH65580 MGD65580 MPZ65580 MZV65580 NJR65580 NTN65580 ODJ65580 ONF65580 OXB65580 PGX65580 PQT65580 QAP65580 QKL65580 QUH65580 RED65580 RNZ65580 RXV65580 SHR65580 SRN65580 TBJ65580 TLF65580 TVB65580 UEX65580 UOT65580 UYP65580 VIL65580 VSH65580 WCD65580 WLZ65580 WVV65580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N131116 JJ131116 TF131116 ADB131116 AMX131116 AWT131116 BGP131116 BQL131116 CAH131116 CKD131116 CTZ131116 DDV131116 DNR131116 DXN131116 EHJ131116 ERF131116 FBB131116 FKX131116 FUT131116 GEP131116 GOL131116 GYH131116 HID131116 HRZ131116 IBV131116 ILR131116 IVN131116 JFJ131116 JPF131116 JZB131116 KIX131116 KST131116 LCP131116 LML131116 LWH131116 MGD131116 MPZ131116 MZV131116 NJR131116 NTN131116 ODJ131116 ONF131116 OXB131116 PGX131116 PQT131116 QAP131116 QKL131116 QUH131116 RED131116 RNZ131116 RXV131116 SHR131116 SRN131116 TBJ131116 TLF131116 TVB131116 UEX131116 UOT131116 UYP131116 VIL131116 VSH131116 WCD131116 WLZ131116 WVV131116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N196652 JJ196652 TF196652 ADB196652 AMX196652 AWT196652 BGP196652 BQL196652 CAH196652 CKD196652 CTZ196652 DDV196652 DNR196652 DXN196652 EHJ196652 ERF196652 FBB196652 FKX196652 FUT196652 GEP196652 GOL196652 GYH196652 HID196652 HRZ196652 IBV196652 ILR196652 IVN196652 JFJ196652 JPF196652 JZB196652 KIX196652 KST196652 LCP196652 LML196652 LWH196652 MGD196652 MPZ196652 MZV196652 NJR196652 NTN196652 ODJ196652 ONF196652 OXB196652 PGX196652 PQT196652 QAP196652 QKL196652 QUH196652 RED196652 RNZ196652 RXV196652 SHR196652 SRN196652 TBJ196652 TLF196652 TVB196652 UEX196652 UOT196652 UYP196652 VIL196652 VSH196652 WCD196652 WLZ196652 WVV196652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N262188 JJ262188 TF262188 ADB262188 AMX262188 AWT262188 BGP262188 BQL262188 CAH262188 CKD262188 CTZ262188 DDV262188 DNR262188 DXN262188 EHJ262188 ERF262188 FBB262188 FKX262188 FUT262188 GEP262188 GOL262188 GYH262188 HID262188 HRZ262188 IBV262188 ILR262188 IVN262188 JFJ262188 JPF262188 JZB262188 KIX262188 KST262188 LCP262188 LML262188 LWH262188 MGD262188 MPZ262188 MZV262188 NJR262188 NTN262188 ODJ262188 ONF262188 OXB262188 PGX262188 PQT262188 QAP262188 QKL262188 QUH262188 RED262188 RNZ262188 RXV262188 SHR262188 SRN262188 TBJ262188 TLF262188 TVB262188 UEX262188 UOT262188 UYP262188 VIL262188 VSH262188 WCD262188 WLZ262188 WVV262188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N327724 JJ327724 TF327724 ADB327724 AMX327724 AWT327724 BGP327724 BQL327724 CAH327724 CKD327724 CTZ327724 DDV327724 DNR327724 DXN327724 EHJ327724 ERF327724 FBB327724 FKX327724 FUT327724 GEP327724 GOL327724 GYH327724 HID327724 HRZ327724 IBV327724 ILR327724 IVN327724 JFJ327724 JPF327724 JZB327724 KIX327724 KST327724 LCP327724 LML327724 LWH327724 MGD327724 MPZ327724 MZV327724 NJR327724 NTN327724 ODJ327724 ONF327724 OXB327724 PGX327724 PQT327724 QAP327724 QKL327724 QUH327724 RED327724 RNZ327724 RXV327724 SHR327724 SRN327724 TBJ327724 TLF327724 TVB327724 UEX327724 UOT327724 UYP327724 VIL327724 VSH327724 WCD327724 WLZ327724 WVV327724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N393260 JJ393260 TF393260 ADB393260 AMX393260 AWT393260 BGP393260 BQL393260 CAH393260 CKD393260 CTZ393260 DDV393260 DNR393260 DXN393260 EHJ393260 ERF393260 FBB393260 FKX393260 FUT393260 GEP393260 GOL393260 GYH393260 HID393260 HRZ393260 IBV393260 ILR393260 IVN393260 JFJ393260 JPF393260 JZB393260 KIX393260 KST393260 LCP393260 LML393260 LWH393260 MGD393260 MPZ393260 MZV393260 NJR393260 NTN393260 ODJ393260 ONF393260 OXB393260 PGX393260 PQT393260 QAP393260 QKL393260 QUH393260 RED393260 RNZ393260 RXV393260 SHR393260 SRN393260 TBJ393260 TLF393260 TVB393260 UEX393260 UOT393260 UYP393260 VIL393260 VSH393260 WCD393260 WLZ393260 WVV393260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N458796 JJ458796 TF458796 ADB458796 AMX458796 AWT458796 BGP458796 BQL458796 CAH458796 CKD458796 CTZ458796 DDV458796 DNR458796 DXN458796 EHJ458796 ERF458796 FBB458796 FKX458796 FUT458796 GEP458796 GOL458796 GYH458796 HID458796 HRZ458796 IBV458796 ILR458796 IVN458796 JFJ458796 JPF458796 JZB458796 KIX458796 KST458796 LCP458796 LML458796 LWH458796 MGD458796 MPZ458796 MZV458796 NJR458796 NTN458796 ODJ458796 ONF458796 OXB458796 PGX458796 PQT458796 QAP458796 QKL458796 QUH458796 RED458796 RNZ458796 RXV458796 SHR458796 SRN458796 TBJ458796 TLF458796 TVB458796 UEX458796 UOT458796 UYP458796 VIL458796 VSH458796 WCD458796 WLZ458796 WVV458796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N524332 JJ524332 TF524332 ADB524332 AMX524332 AWT524332 BGP524332 BQL524332 CAH524332 CKD524332 CTZ524332 DDV524332 DNR524332 DXN524332 EHJ524332 ERF524332 FBB524332 FKX524332 FUT524332 GEP524332 GOL524332 GYH524332 HID524332 HRZ524332 IBV524332 ILR524332 IVN524332 JFJ524332 JPF524332 JZB524332 KIX524332 KST524332 LCP524332 LML524332 LWH524332 MGD524332 MPZ524332 MZV524332 NJR524332 NTN524332 ODJ524332 ONF524332 OXB524332 PGX524332 PQT524332 QAP524332 QKL524332 QUH524332 RED524332 RNZ524332 RXV524332 SHR524332 SRN524332 TBJ524332 TLF524332 TVB524332 UEX524332 UOT524332 UYP524332 VIL524332 VSH524332 WCD524332 WLZ524332 WVV524332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N589868 JJ589868 TF589868 ADB589868 AMX589868 AWT589868 BGP589868 BQL589868 CAH589868 CKD589868 CTZ589868 DDV589868 DNR589868 DXN589868 EHJ589868 ERF589868 FBB589868 FKX589868 FUT589868 GEP589868 GOL589868 GYH589868 HID589868 HRZ589868 IBV589868 ILR589868 IVN589868 JFJ589868 JPF589868 JZB589868 KIX589868 KST589868 LCP589868 LML589868 LWH589868 MGD589868 MPZ589868 MZV589868 NJR589868 NTN589868 ODJ589868 ONF589868 OXB589868 PGX589868 PQT589868 QAP589868 QKL589868 QUH589868 RED589868 RNZ589868 RXV589868 SHR589868 SRN589868 TBJ589868 TLF589868 TVB589868 UEX589868 UOT589868 UYP589868 VIL589868 VSH589868 WCD589868 WLZ589868 WVV589868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N655404 JJ655404 TF655404 ADB655404 AMX655404 AWT655404 BGP655404 BQL655404 CAH655404 CKD655404 CTZ655404 DDV655404 DNR655404 DXN655404 EHJ655404 ERF655404 FBB655404 FKX655404 FUT655404 GEP655404 GOL655404 GYH655404 HID655404 HRZ655404 IBV655404 ILR655404 IVN655404 JFJ655404 JPF655404 JZB655404 KIX655404 KST655404 LCP655404 LML655404 LWH655404 MGD655404 MPZ655404 MZV655404 NJR655404 NTN655404 ODJ655404 ONF655404 OXB655404 PGX655404 PQT655404 QAP655404 QKL655404 QUH655404 RED655404 RNZ655404 RXV655404 SHR655404 SRN655404 TBJ655404 TLF655404 TVB655404 UEX655404 UOT655404 UYP655404 VIL655404 VSH655404 WCD655404 WLZ655404 WVV655404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N720940 JJ720940 TF720940 ADB720940 AMX720940 AWT720940 BGP720940 BQL720940 CAH720940 CKD720940 CTZ720940 DDV720940 DNR720940 DXN720940 EHJ720940 ERF720940 FBB720940 FKX720940 FUT720940 GEP720940 GOL720940 GYH720940 HID720940 HRZ720940 IBV720940 ILR720940 IVN720940 JFJ720940 JPF720940 JZB720940 KIX720940 KST720940 LCP720940 LML720940 LWH720940 MGD720940 MPZ720940 MZV720940 NJR720940 NTN720940 ODJ720940 ONF720940 OXB720940 PGX720940 PQT720940 QAP720940 QKL720940 QUH720940 RED720940 RNZ720940 RXV720940 SHR720940 SRN720940 TBJ720940 TLF720940 TVB720940 UEX720940 UOT720940 UYP720940 VIL720940 VSH720940 WCD720940 WLZ720940 WVV720940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N786476 JJ786476 TF786476 ADB786476 AMX786476 AWT786476 BGP786476 BQL786476 CAH786476 CKD786476 CTZ786476 DDV786476 DNR786476 DXN786476 EHJ786476 ERF786476 FBB786476 FKX786476 FUT786476 GEP786476 GOL786476 GYH786476 HID786476 HRZ786476 IBV786476 ILR786476 IVN786476 JFJ786476 JPF786476 JZB786476 KIX786476 KST786476 LCP786476 LML786476 LWH786476 MGD786476 MPZ786476 MZV786476 NJR786476 NTN786476 ODJ786476 ONF786476 OXB786476 PGX786476 PQT786476 QAP786476 QKL786476 QUH786476 RED786476 RNZ786476 RXV786476 SHR786476 SRN786476 TBJ786476 TLF786476 TVB786476 UEX786476 UOT786476 UYP786476 VIL786476 VSH786476 WCD786476 WLZ786476 WVV786476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N852012 JJ852012 TF852012 ADB852012 AMX852012 AWT852012 BGP852012 BQL852012 CAH852012 CKD852012 CTZ852012 DDV852012 DNR852012 DXN852012 EHJ852012 ERF852012 FBB852012 FKX852012 FUT852012 GEP852012 GOL852012 GYH852012 HID852012 HRZ852012 IBV852012 ILR852012 IVN852012 JFJ852012 JPF852012 JZB852012 KIX852012 KST852012 LCP852012 LML852012 LWH852012 MGD852012 MPZ852012 MZV852012 NJR852012 NTN852012 ODJ852012 ONF852012 OXB852012 PGX852012 PQT852012 QAP852012 QKL852012 QUH852012 RED852012 RNZ852012 RXV852012 SHR852012 SRN852012 TBJ852012 TLF852012 TVB852012 UEX852012 UOT852012 UYP852012 VIL852012 VSH852012 WCD852012 WLZ852012 WVV852012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N917548 JJ917548 TF917548 ADB917548 AMX917548 AWT917548 BGP917548 BQL917548 CAH917548 CKD917548 CTZ917548 DDV917548 DNR917548 DXN917548 EHJ917548 ERF917548 FBB917548 FKX917548 FUT917548 GEP917548 GOL917548 GYH917548 HID917548 HRZ917548 IBV917548 ILR917548 IVN917548 JFJ917548 JPF917548 JZB917548 KIX917548 KST917548 LCP917548 LML917548 LWH917548 MGD917548 MPZ917548 MZV917548 NJR917548 NTN917548 ODJ917548 ONF917548 OXB917548 PGX917548 PQT917548 QAP917548 QKL917548 QUH917548 RED917548 RNZ917548 RXV917548 SHR917548 SRN917548 TBJ917548 TLF917548 TVB917548 UEX917548 UOT917548 UYP917548 VIL917548 VSH917548 WCD917548 WLZ917548 WVV917548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N983084 JJ983084 TF983084 ADB983084 AMX983084 AWT983084 BGP983084 BQL983084 CAH983084 CKD983084 CTZ983084 DDV983084 DNR983084 DXN983084 EHJ983084 ERF983084 FBB983084 FKX983084 FUT983084 GEP983084 GOL983084 GYH983084 HID983084 HRZ983084 IBV983084 ILR983084 IVN983084 JFJ983084 JPF983084 JZB983084 KIX983084 KST983084 LCP983084 LML983084 LWH983084 MGD983084 MPZ983084 MZV983084 NJR983084 NTN983084 ODJ983084 ONF983084 OXB983084 PGX983084 PQT983084 QAP983084 QKL983084 QUH983084 RED983084 RNZ983084 RXV983084 SHR983084 SRN983084 TBJ983084 TLF983084 TVB983084 UEX983084 UOT983084 UYP983084 VIL983084 VSH983084 WCD983084 WLZ983084 WVV983084">
      <formula1>14</formula1>
      <formula2>1000000</formula2>
    </dataValidation>
    <dataValidation allowBlank="1" showErrorMessage="1" promptTitle="参数变化" prompt="该参数会根据当前生效的水平像素Binning、水平像素抽样变化" sqref="B2:B3 C65538:C65539 C131074:C131075 C196610:C196611 C262146:C262147 C327682:C327683 C393218:C393219 C458754:C458755 C524290:C524291 C589826:C589827 C655362:C655363 C720898:C720899 C786434:C786435 C851970:C851971 C917506:C917507 C983042:C983043 IX2:IX3 IY65538:IY65539 IY131074:IY131075 IY196610:IY196611 IY262146:IY262147 IY327682:IY327683 IY393218:IY393219 IY458754:IY458755 IY524290:IY524291 IY589826:IY589827 IY655362:IY655363 IY720898:IY720899 IY786434:IY786435 IY851970:IY851971 IY917506:IY917507 IY983042:IY983043 ST2:ST3 SU65538:SU65539 SU131074:SU131075 SU196610:SU196611 SU262146:SU262147 SU327682:SU327683 SU393218:SU393219 SU458754:SU458755 SU524290:SU524291 SU589826:SU589827 SU655362:SU655363 SU720898:SU720899 SU786434:SU786435 SU851970:SU851971 SU917506:SU917507 SU983042:SU983043 ACP2:ACP3 ACQ65538:ACQ65539 ACQ131074:ACQ131075 ACQ196610:ACQ196611 ACQ262146:ACQ262147 ACQ327682:ACQ327683 ACQ393218:ACQ393219 ACQ458754:ACQ458755 ACQ524290:ACQ524291 ACQ589826:ACQ589827 ACQ655362:ACQ655363 ACQ720898:ACQ720899 ACQ786434:ACQ786435 ACQ851970:ACQ851971 ACQ917506:ACQ917507 ACQ983042:ACQ983043 AML2:AML3 AMM65538:AMM65539 AMM131074:AMM131075 AMM196610:AMM196611 AMM262146:AMM262147 AMM327682:AMM327683 AMM393218:AMM393219 AMM458754:AMM458755 AMM524290:AMM524291 AMM589826:AMM589827 AMM655362:AMM655363 AMM720898:AMM720899 AMM786434:AMM786435 AMM851970:AMM851971 AMM917506:AMM917507 AMM983042:AMM983043 AWH2:AWH3 AWI65538:AWI65539 AWI131074:AWI131075 AWI196610:AWI196611 AWI262146:AWI262147 AWI327682:AWI327683 AWI393218:AWI393219 AWI458754:AWI458755 AWI524290:AWI524291 AWI589826:AWI589827 AWI655362:AWI655363 AWI720898:AWI720899 AWI786434:AWI786435 AWI851970:AWI851971 AWI917506:AWI917507 AWI983042:AWI983043 BGD2:BGD3 BGE65538:BGE65539 BGE131074:BGE131075 BGE196610:BGE196611 BGE262146:BGE262147 BGE327682:BGE327683 BGE393218:BGE393219 BGE458754:BGE458755 BGE524290:BGE524291 BGE589826:BGE589827 BGE655362:BGE655363 BGE720898:BGE720899 BGE786434:BGE786435 BGE851970:BGE851971 BGE917506:BGE917507 BGE983042:BGE983043 BPZ2:BPZ3 BQA65538:BQA65539 BQA131074:BQA131075 BQA196610:BQA196611 BQA262146:BQA262147 BQA327682:BQA327683 BQA393218:BQA393219 BQA458754:BQA458755 BQA524290:BQA524291 BQA589826:BQA589827 BQA655362:BQA655363 BQA720898:BQA720899 BQA786434:BQA786435 BQA851970:BQA851971 BQA917506:BQA917507 BQA983042:BQA983043 BZV2:BZV3 BZW65538:BZW65539 BZW131074:BZW131075 BZW196610:BZW196611 BZW262146:BZW262147 BZW327682:BZW327683 BZW393218:BZW393219 BZW458754:BZW458755 BZW524290:BZW524291 BZW589826:BZW589827 BZW655362:BZW655363 BZW720898:BZW720899 BZW786434:BZW786435 BZW851970:BZW851971 BZW917506:BZW917507 BZW983042:BZW983043 CJR2:CJR3 CJS65538:CJS65539 CJS131074:CJS131075 CJS196610:CJS196611 CJS262146:CJS262147 CJS327682:CJS327683 CJS393218:CJS393219 CJS458754:CJS458755 CJS524290:CJS524291 CJS589826:CJS589827 CJS655362:CJS655363 CJS720898:CJS720899 CJS786434:CJS786435 CJS851970:CJS851971 CJS917506:CJS917507 CJS983042:CJS983043 CTN2:CTN3 CTO65538:CTO65539 CTO131074:CTO131075 CTO196610:CTO196611 CTO262146:CTO262147 CTO327682:CTO327683 CTO393218:CTO393219 CTO458754:CTO458755 CTO524290:CTO524291 CTO589826:CTO589827 CTO655362:CTO655363 CTO720898:CTO720899 CTO786434:CTO786435 CTO851970:CTO851971 CTO917506:CTO917507 CTO983042:CTO983043 DDJ2:DDJ3 DDK65538:DDK65539 DDK131074:DDK131075 DDK196610:DDK196611 DDK262146:DDK262147 DDK327682:DDK327683 DDK393218:DDK393219 DDK458754:DDK458755 DDK524290:DDK524291 DDK589826:DDK589827 DDK655362:DDK655363 DDK720898:DDK720899 DDK786434:DDK786435 DDK851970:DDK851971 DDK917506:DDK917507 DDK983042:DDK983043 DNF2:DNF3 DNG65538:DNG65539 DNG131074:DNG131075 DNG196610:DNG196611 DNG262146:DNG262147 DNG327682:DNG327683 DNG393218:DNG393219 DNG458754:DNG458755 DNG524290:DNG524291 DNG589826:DNG589827 DNG655362:DNG655363 DNG720898:DNG720899 DNG786434:DNG786435 DNG851970:DNG851971 DNG917506:DNG917507 DNG983042:DNG983043 DXB2:DXB3 DXC65538:DXC65539 DXC131074:DXC131075 DXC196610:DXC196611 DXC262146:DXC262147 DXC327682:DXC327683 DXC393218:DXC393219 DXC458754:DXC458755 DXC524290:DXC524291 DXC589826:DXC589827 DXC655362:DXC655363 DXC720898:DXC720899 DXC786434:DXC786435 DXC851970:DXC851971 DXC917506:DXC917507 DXC983042:DXC983043 EGX2:EGX3 EGY65538:EGY65539 EGY131074:EGY131075 EGY196610:EGY196611 EGY262146:EGY262147 EGY327682:EGY327683 EGY393218:EGY393219 EGY458754:EGY458755 EGY524290:EGY524291 EGY589826:EGY589827 EGY655362:EGY655363 EGY720898:EGY720899 EGY786434:EGY786435 EGY851970:EGY851971 EGY917506:EGY917507 EGY983042:EGY983043 EQT2:EQT3 EQU65538:EQU65539 EQU131074:EQU131075 EQU196610:EQU196611 EQU262146:EQU262147 EQU327682:EQU327683 EQU393218:EQU393219 EQU458754:EQU458755 EQU524290:EQU524291 EQU589826:EQU589827 EQU655362:EQU655363 EQU720898:EQU720899 EQU786434:EQU786435 EQU851970:EQU851971 EQU917506:EQU917507 EQU983042:EQU983043 FAP2:FAP3 FAQ65538:FAQ65539 FAQ131074:FAQ131075 FAQ196610:FAQ196611 FAQ262146:FAQ262147 FAQ327682:FAQ327683 FAQ393218:FAQ393219 FAQ458754:FAQ458755 FAQ524290:FAQ524291 FAQ589826:FAQ589827 FAQ655362:FAQ655363 FAQ720898:FAQ720899 FAQ786434:FAQ786435 FAQ851970:FAQ851971 FAQ917506:FAQ917507 FAQ983042:FAQ983043 FKL2:FKL3 FKM65538:FKM65539 FKM131074:FKM131075 FKM196610:FKM196611 FKM262146:FKM262147 FKM327682:FKM327683 FKM393218:FKM393219 FKM458754:FKM458755 FKM524290:FKM524291 FKM589826:FKM589827 FKM655362:FKM655363 FKM720898:FKM720899 FKM786434:FKM786435 FKM851970:FKM851971 FKM917506:FKM917507 FKM983042:FKM983043 FUH2:FUH3 FUI65538:FUI65539 FUI131074:FUI131075 FUI196610:FUI196611 FUI262146:FUI262147 FUI327682:FUI327683 FUI393218:FUI393219 FUI458754:FUI458755 FUI524290:FUI524291 FUI589826:FUI589827 FUI655362:FUI655363 FUI720898:FUI720899 FUI786434:FUI786435 FUI851970:FUI851971 FUI917506:FUI917507 FUI983042:FUI983043 GED2:GED3 GEE65538:GEE65539 GEE131074:GEE131075 GEE196610:GEE196611 GEE262146:GEE262147 GEE327682:GEE327683 GEE393218:GEE393219 GEE458754:GEE458755 GEE524290:GEE524291 GEE589826:GEE589827 GEE655362:GEE655363 GEE720898:GEE720899 GEE786434:GEE786435 GEE851970:GEE851971 GEE917506:GEE917507 GEE983042:GEE983043 GNZ2:GNZ3 GOA65538:GOA65539 GOA131074:GOA131075 GOA196610:GOA196611 GOA262146:GOA262147 GOA327682:GOA327683 GOA393218:GOA393219 GOA458754:GOA458755 GOA524290:GOA524291 GOA589826:GOA589827 GOA655362:GOA655363 GOA720898:GOA720899 GOA786434:GOA786435 GOA851970:GOA851971 GOA917506:GOA917507 GOA983042:GOA983043 GXV2:GXV3 GXW65538:GXW65539 GXW131074:GXW131075 GXW196610:GXW196611 GXW262146:GXW262147 GXW327682:GXW327683 GXW393218:GXW393219 GXW458754:GXW458755 GXW524290:GXW524291 GXW589826:GXW589827 GXW655362:GXW655363 GXW720898:GXW720899 GXW786434:GXW786435 GXW851970:GXW851971 GXW917506:GXW917507 GXW983042:GXW983043 HHR2:HHR3 HHS65538:HHS65539 HHS131074:HHS131075 HHS196610:HHS196611 HHS262146:HHS262147 HHS327682:HHS327683 HHS393218:HHS393219 HHS458754:HHS458755 HHS524290:HHS524291 HHS589826:HHS589827 HHS655362:HHS655363 HHS720898:HHS720899 HHS786434:HHS786435 HHS851970:HHS851971 HHS917506:HHS917507 HHS983042:HHS983043 HRN2:HRN3 HRO65538:HRO65539 HRO131074:HRO131075 HRO196610:HRO196611 HRO262146:HRO262147 HRO327682:HRO327683 HRO393218:HRO393219 HRO458754:HRO458755 HRO524290:HRO524291 HRO589826:HRO589827 HRO655362:HRO655363 HRO720898:HRO720899 HRO786434:HRO786435 HRO851970:HRO851971 HRO917506:HRO917507 HRO983042:HRO983043 IBJ2:IBJ3 IBK65538:IBK65539 IBK131074:IBK131075 IBK196610:IBK196611 IBK262146:IBK262147 IBK327682:IBK327683 IBK393218:IBK393219 IBK458754:IBK458755 IBK524290:IBK524291 IBK589826:IBK589827 IBK655362:IBK655363 IBK720898:IBK720899 IBK786434:IBK786435 IBK851970:IBK851971 IBK917506:IBK917507 IBK983042:IBK983043 ILF2:ILF3 ILG65538:ILG65539 ILG131074:ILG131075 ILG196610:ILG196611 ILG262146:ILG262147 ILG327682:ILG327683 ILG393218:ILG393219 ILG458754:ILG458755 ILG524290:ILG524291 ILG589826:ILG589827 ILG655362:ILG655363 ILG720898:ILG720899 ILG786434:ILG786435 ILG851970:ILG851971 ILG917506:ILG917507 ILG983042:ILG983043 IVB2:IVB3 IVC65538:IVC65539 IVC131074:IVC131075 IVC196610:IVC196611 IVC262146:IVC262147 IVC327682:IVC327683 IVC393218:IVC393219 IVC458754:IVC458755 IVC524290:IVC524291 IVC589826:IVC589827 IVC655362:IVC655363 IVC720898:IVC720899 IVC786434:IVC786435 IVC851970:IVC851971 IVC917506:IVC917507 IVC983042:IVC983043 JEX2:JEX3 JEY65538:JEY65539 JEY131074:JEY131075 JEY196610:JEY196611 JEY262146:JEY262147 JEY327682:JEY327683 JEY393218:JEY393219 JEY458754:JEY458755 JEY524290:JEY524291 JEY589826:JEY589827 JEY655362:JEY655363 JEY720898:JEY720899 JEY786434:JEY786435 JEY851970:JEY851971 JEY917506:JEY917507 JEY983042:JEY983043 JOT2:JOT3 JOU65538:JOU65539 JOU131074:JOU131075 JOU196610:JOU196611 JOU262146:JOU262147 JOU327682:JOU327683 JOU393218:JOU393219 JOU458754:JOU458755 JOU524290:JOU524291 JOU589826:JOU589827 JOU655362:JOU655363 JOU720898:JOU720899 JOU786434:JOU786435 JOU851970:JOU851971 JOU917506:JOU917507 JOU983042:JOU983043 JYP2:JYP3 JYQ65538:JYQ65539 JYQ131074:JYQ131075 JYQ196610:JYQ196611 JYQ262146:JYQ262147 JYQ327682:JYQ327683 JYQ393218:JYQ393219 JYQ458754:JYQ458755 JYQ524290:JYQ524291 JYQ589826:JYQ589827 JYQ655362:JYQ655363 JYQ720898:JYQ720899 JYQ786434:JYQ786435 JYQ851970:JYQ851971 JYQ917506:JYQ917507 JYQ983042:JYQ983043 KIL2:KIL3 KIM65538:KIM65539 KIM131074:KIM131075 KIM196610:KIM196611 KIM262146:KIM262147 KIM327682:KIM327683 KIM393218:KIM393219 KIM458754:KIM458755 KIM524290:KIM524291 KIM589826:KIM589827 KIM655362:KIM655363 KIM720898:KIM720899 KIM786434:KIM786435 KIM851970:KIM851971 KIM917506:KIM917507 KIM983042:KIM983043 KSH2:KSH3 KSI65538:KSI65539 KSI131074:KSI131075 KSI196610:KSI196611 KSI262146:KSI262147 KSI327682:KSI327683 KSI393218:KSI393219 KSI458754:KSI458755 KSI524290:KSI524291 KSI589826:KSI589827 KSI655362:KSI655363 KSI720898:KSI720899 KSI786434:KSI786435 KSI851970:KSI851971 KSI917506:KSI917507 KSI983042:KSI983043 LCD2:LCD3 LCE65538:LCE65539 LCE131074:LCE131075 LCE196610:LCE196611 LCE262146:LCE262147 LCE327682:LCE327683 LCE393218:LCE393219 LCE458754:LCE458755 LCE524290:LCE524291 LCE589826:LCE589827 LCE655362:LCE655363 LCE720898:LCE720899 LCE786434:LCE786435 LCE851970:LCE851971 LCE917506:LCE917507 LCE983042:LCE983043 LLZ2:LLZ3 LMA65538:LMA65539 LMA131074:LMA131075 LMA196610:LMA196611 LMA262146:LMA262147 LMA327682:LMA327683 LMA393218:LMA393219 LMA458754:LMA458755 LMA524290:LMA524291 LMA589826:LMA589827 LMA655362:LMA655363 LMA720898:LMA720899 LMA786434:LMA786435 LMA851970:LMA851971 LMA917506:LMA917507 LMA983042:LMA983043 LVV2:LVV3 LVW65538:LVW65539 LVW131074:LVW131075 LVW196610:LVW196611 LVW262146:LVW262147 LVW327682:LVW327683 LVW393218:LVW393219 LVW458754:LVW458755 LVW524290:LVW524291 LVW589826:LVW589827 LVW655362:LVW655363 LVW720898:LVW720899 LVW786434:LVW786435 LVW851970:LVW851971 LVW917506:LVW917507 LVW983042:LVW983043 MFR2:MFR3 MFS65538:MFS65539 MFS131074:MFS131075 MFS196610:MFS196611 MFS262146:MFS262147 MFS327682:MFS327683 MFS393218:MFS393219 MFS458754:MFS458755 MFS524290:MFS524291 MFS589826:MFS589827 MFS655362:MFS655363 MFS720898:MFS720899 MFS786434:MFS786435 MFS851970:MFS851971 MFS917506:MFS917507 MFS983042:MFS983043 MPN2:MPN3 MPO65538:MPO65539 MPO131074:MPO131075 MPO196610:MPO196611 MPO262146:MPO262147 MPO327682:MPO327683 MPO393218:MPO393219 MPO458754:MPO458755 MPO524290:MPO524291 MPO589826:MPO589827 MPO655362:MPO655363 MPO720898:MPO720899 MPO786434:MPO786435 MPO851970:MPO851971 MPO917506:MPO917507 MPO983042:MPO983043 MZJ2:MZJ3 MZK65538:MZK65539 MZK131074:MZK131075 MZK196610:MZK196611 MZK262146:MZK262147 MZK327682:MZK327683 MZK393218:MZK393219 MZK458754:MZK458755 MZK524290:MZK524291 MZK589826:MZK589827 MZK655362:MZK655363 MZK720898:MZK720899 MZK786434:MZK786435 MZK851970:MZK851971 MZK917506:MZK917507 MZK983042:MZK983043 NJF2:NJF3 NJG65538:NJG65539 NJG131074:NJG131075 NJG196610:NJG196611 NJG262146:NJG262147 NJG327682:NJG327683 NJG393218:NJG393219 NJG458754:NJG458755 NJG524290:NJG524291 NJG589826:NJG589827 NJG655362:NJG655363 NJG720898:NJG720899 NJG786434:NJG786435 NJG851970:NJG851971 NJG917506:NJG917507 NJG983042:NJG983043 NTB2:NTB3 NTC65538:NTC65539 NTC131074:NTC131075 NTC196610:NTC196611 NTC262146:NTC262147 NTC327682:NTC327683 NTC393218:NTC393219 NTC458754:NTC458755 NTC524290:NTC524291 NTC589826:NTC589827 NTC655362:NTC655363 NTC720898:NTC720899 NTC786434:NTC786435 NTC851970:NTC851971 NTC917506:NTC917507 NTC983042:NTC983043 OCX2:OCX3 OCY65538:OCY65539 OCY131074:OCY131075 OCY196610:OCY196611 OCY262146:OCY262147 OCY327682:OCY327683 OCY393218:OCY393219 OCY458754:OCY458755 OCY524290:OCY524291 OCY589826:OCY589827 OCY655362:OCY655363 OCY720898:OCY720899 OCY786434:OCY786435 OCY851970:OCY851971 OCY917506:OCY917507 OCY983042:OCY983043 OMT2:OMT3 OMU65538:OMU65539 OMU131074:OMU131075 OMU196610:OMU196611 OMU262146:OMU262147 OMU327682:OMU327683 OMU393218:OMU393219 OMU458754:OMU458755 OMU524290:OMU524291 OMU589826:OMU589827 OMU655362:OMU655363 OMU720898:OMU720899 OMU786434:OMU786435 OMU851970:OMU851971 OMU917506:OMU917507 OMU983042:OMU983043 OWP2:OWP3 OWQ65538:OWQ65539 OWQ131074:OWQ131075 OWQ196610:OWQ196611 OWQ262146:OWQ262147 OWQ327682:OWQ327683 OWQ393218:OWQ393219 OWQ458754:OWQ458755 OWQ524290:OWQ524291 OWQ589826:OWQ589827 OWQ655362:OWQ655363 OWQ720898:OWQ720899 OWQ786434:OWQ786435 OWQ851970:OWQ851971 OWQ917506:OWQ917507 OWQ983042:OWQ983043 PGL2:PGL3 PGM65538:PGM65539 PGM131074:PGM131075 PGM196610:PGM196611 PGM262146:PGM262147 PGM327682:PGM327683 PGM393218:PGM393219 PGM458754:PGM458755 PGM524290:PGM524291 PGM589826:PGM589827 PGM655362:PGM655363 PGM720898:PGM720899 PGM786434:PGM786435 PGM851970:PGM851971 PGM917506:PGM917507 PGM983042:PGM983043 PQH2:PQH3 PQI65538:PQI65539 PQI131074:PQI131075 PQI196610:PQI196611 PQI262146:PQI262147 PQI327682:PQI327683 PQI393218:PQI393219 PQI458754:PQI458755 PQI524290:PQI524291 PQI589826:PQI589827 PQI655362:PQI655363 PQI720898:PQI720899 PQI786434:PQI786435 PQI851970:PQI851971 PQI917506:PQI917507 PQI983042:PQI983043 QAD2:QAD3 QAE65538:QAE65539 QAE131074:QAE131075 QAE196610:QAE196611 QAE262146:QAE262147 QAE327682:QAE327683 QAE393218:QAE393219 QAE458754:QAE458755 QAE524290:QAE524291 QAE589826:QAE589827 QAE655362:QAE655363 QAE720898:QAE720899 QAE786434:QAE786435 QAE851970:QAE851971 QAE917506:QAE917507 QAE983042:QAE983043 QJZ2:QJZ3 QKA65538:QKA65539 QKA131074:QKA131075 QKA196610:QKA196611 QKA262146:QKA262147 QKA327682:QKA327683 QKA393218:QKA393219 QKA458754:QKA458755 QKA524290:QKA524291 QKA589826:QKA589827 QKA655362:QKA655363 QKA720898:QKA720899 QKA786434:QKA786435 QKA851970:QKA851971 QKA917506:QKA917507 QKA983042:QKA983043 QTV2:QTV3 QTW65538:QTW65539 QTW131074:QTW131075 QTW196610:QTW196611 QTW262146:QTW262147 QTW327682:QTW327683 QTW393218:QTW393219 QTW458754:QTW458755 QTW524290:QTW524291 QTW589826:QTW589827 QTW655362:QTW655363 QTW720898:QTW720899 QTW786434:QTW786435 QTW851970:QTW851971 QTW917506:QTW917507 QTW983042:QTW983043 RDR2:RDR3 RDS65538:RDS65539 RDS131074:RDS131075 RDS196610:RDS196611 RDS262146:RDS262147 RDS327682:RDS327683 RDS393218:RDS393219 RDS458754:RDS458755 RDS524290:RDS524291 RDS589826:RDS589827 RDS655362:RDS655363 RDS720898:RDS720899 RDS786434:RDS786435 RDS851970:RDS851971 RDS917506:RDS917507 RDS983042:RDS983043 RNN2:RNN3 RNO65538:RNO65539 RNO131074:RNO131075 RNO196610:RNO196611 RNO262146:RNO262147 RNO327682:RNO327683 RNO393218:RNO393219 RNO458754:RNO458755 RNO524290:RNO524291 RNO589826:RNO589827 RNO655362:RNO655363 RNO720898:RNO720899 RNO786434:RNO786435 RNO851970:RNO851971 RNO917506:RNO917507 RNO983042:RNO983043 RXJ2:RXJ3 RXK65538:RXK65539 RXK131074:RXK131075 RXK196610:RXK196611 RXK262146:RXK262147 RXK327682:RXK327683 RXK393218:RXK393219 RXK458754:RXK458755 RXK524290:RXK524291 RXK589826:RXK589827 RXK655362:RXK655363 RXK720898:RXK720899 RXK786434:RXK786435 RXK851970:RXK851971 RXK917506:RXK917507 RXK983042:RXK983043 SHF2:SHF3 SHG65538:SHG65539 SHG131074:SHG131075 SHG196610:SHG196611 SHG262146:SHG262147 SHG327682:SHG327683 SHG393218:SHG393219 SHG458754:SHG458755 SHG524290:SHG524291 SHG589826:SHG589827 SHG655362:SHG655363 SHG720898:SHG720899 SHG786434:SHG786435 SHG851970:SHG851971 SHG917506:SHG917507 SHG983042:SHG983043 SRB2:SRB3 SRC65538:SRC65539 SRC131074:SRC131075 SRC196610:SRC196611 SRC262146:SRC262147 SRC327682:SRC327683 SRC393218:SRC393219 SRC458754:SRC458755 SRC524290:SRC524291 SRC589826:SRC589827 SRC655362:SRC655363 SRC720898:SRC720899 SRC786434:SRC786435 SRC851970:SRC851971 SRC917506:SRC917507 SRC983042:SRC983043 TAX2:TAX3 TAY65538:TAY65539 TAY131074:TAY131075 TAY196610:TAY196611 TAY262146:TAY262147 TAY327682:TAY327683 TAY393218:TAY393219 TAY458754:TAY458755 TAY524290:TAY524291 TAY589826:TAY589827 TAY655362:TAY655363 TAY720898:TAY720899 TAY786434:TAY786435 TAY851970:TAY851971 TAY917506:TAY917507 TAY983042:TAY983043 TKT2:TKT3 TKU65538:TKU65539 TKU131074:TKU131075 TKU196610:TKU196611 TKU262146:TKU262147 TKU327682:TKU327683 TKU393218:TKU393219 TKU458754:TKU458755 TKU524290:TKU524291 TKU589826:TKU589827 TKU655362:TKU655363 TKU720898:TKU720899 TKU786434:TKU786435 TKU851970:TKU851971 TKU917506:TKU917507 TKU983042:TKU983043 TUP2:TUP3 TUQ65538:TUQ65539 TUQ131074:TUQ131075 TUQ196610:TUQ196611 TUQ262146:TUQ262147 TUQ327682:TUQ327683 TUQ393218:TUQ393219 TUQ458754:TUQ458755 TUQ524290:TUQ524291 TUQ589826:TUQ589827 TUQ655362:TUQ655363 TUQ720898:TUQ720899 TUQ786434:TUQ786435 TUQ851970:TUQ851971 TUQ917506:TUQ917507 TUQ983042:TUQ983043 UEL2:UEL3 UEM65538:UEM65539 UEM131074:UEM131075 UEM196610:UEM196611 UEM262146:UEM262147 UEM327682:UEM327683 UEM393218:UEM393219 UEM458754:UEM458755 UEM524290:UEM524291 UEM589826:UEM589827 UEM655362:UEM655363 UEM720898:UEM720899 UEM786434:UEM786435 UEM851970:UEM851971 UEM917506:UEM917507 UEM983042:UEM983043 UOH2:UOH3 UOI65538:UOI65539 UOI131074:UOI131075 UOI196610:UOI196611 UOI262146:UOI262147 UOI327682:UOI327683 UOI393218:UOI393219 UOI458754:UOI458755 UOI524290:UOI524291 UOI589826:UOI589827 UOI655362:UOI655363 UOI720898:UOI720899 UOI786434:UOI786435 UOI851970:UOI851971 UOI917506:UOI917507 UOI983042:UOI983043 UYD2:UYD3 UYE65538:UYE65539 UYE131074:UYE131075 UYE196610:UYE196611 UYE262146:UYE262147 UYE327682:UYE327683 UYE393218:UYE393219 UYE458754:UYE458755 UYE524290:UYE524291 UYE589826:UYE589827 UYE655362:UYE655363 UYE720898:UYE720899 UYE786434:UYE786435 UYE851970:UYE851971 UYE917506:UYE917507 UYE983042:UYE983043 VHZ2:VHZ3 VIA65538:VIA65539 VIA131074:VIA131075 VIA196610:VIA196611 VIA262146:VIA262147 VIA327682:VIA327683 VIA393218:VIA393219 VIA458754:VIA458755 VIA524290:VIA524291 VIA589826:VIA589827 VIA655362:VIA655363 VIA720898:VIA720899 VIA786434:VIA786435 VIA851970:VIA851971 VIA917506:VIA917507 VIA983042:VIA983043 VRV2:VRV3 VRW65538:VRW65539 VRW131074:VRW131075 VRW196610:VRW196611 VRW262146:VRW262147 VRW327682:VRW327683 VRW393218:VRW393219 VRW458754:VRW458755 VRW524290:VRW524291 VRW589826:VRW589827 VRW655362:VRW655363 VRW720898:VRW720899 VRW786434:VRW786435 VRW851970:VRW851971 VRW917506:VRW917507 VRW983042:VRW983043 WBR2:WBR3 WBS65538:WBS65539 WBS131074:WBS131075 WBS196610:WBS196611 WBS262146:WBS262147 WBS327682:WBS327683 WBS393218:WBS393219 WBS458754:WBS458755 WBS524290:WBS524291 WBS589826:WBS589827 WBS655362:WBS655363 WBS720898:WBS720899 WBS786434:WBS786435 WBS851970:WBS851971 WBS917506:WBS917507 WBS983042:WBS983043 WLN2:WLN3 WLO65538:WLO65539 WLO131074:WLO131075 WLO196610:WLO196611 WLO262146:WLO262147 WLO327682:WLO327683 WLO393218:WLO393219 WLO458754:WLO458755 WLO524290:WLO524291 WLO589826:WLO589827 WLO655362:WLO655363 WLO720898:WLO720899 WLO786434:WLO786435 WLO851970:WLO851971 WLO917506:WLO917507 WLO983042:WLO983043 WVJ2:WVJ3 WVK65538:WVK65539 WVK131074:WVK131075 WVK196610:WVK196611 WVK262146:WVK262147 WVK327682:WVK327683 WVK393218:WVK393219 WVK458754:WVK458755 WVK524290:WVK524291 WVK589826:WVK589827 WVK655362:WVK655363 WVK720898:WVK720899 WVK786434:WVK786435 WVK851970:WVK851971 WVK917506:WVK917507 WVK983042:WVK983043"/>
    <dataValidation type="custom" allowBlank="1" showInputMessage="1" showErrorMessage="1" error="Please input 8 or 12" sqref="B11">
      <formula1>OR((B11=8),(B11=12))</formula1>
    </dataValidation>
    <dataValidation type="whole" allowBlank="1" showInputMessage="1" showErrorMessage="1" error="Set the value range [ 0,'BandwidthReserveMaxValue']" sqref="B15">
      <formula1>0</formula1>
      <formula2>B16</formula2>
    </dataValidation>
    <dataValidation type="custom" allowBlank="1" showInputMessage="1" showErrorMessage="1" error="请输入8或者12"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OR((C11=8),(C11=12))</formula1>
    </dataValidation>
    <dataValidation type="custom" allowBlank="1" showInputMessage="1" showErrorMessage="1" error="Please enter 10000 or 1000" sqref="B12">
      <formula1>OR((B12=10000),(B12=1000))</formula1>
    </dataValidation>
    <dataValidation type="custom" allowBlank="1" showInputMessage="1" showErrorMessage="1" error="请输入10000或者1000" sqref="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formula1>OR((C12=10000),(C12=1000))</formula1>
    </dataValidation>
    <dataValidation type="list" allowBlank="1" showInputMessage="1" showErrorMessage="1" errorTitle="超出范围" error="曝光时间的范围是14us-1s" sqref="N43 JJ43 TF43 ADB43 AMX43 AWT43 BGP43 BQL43 CAH43 CKD43 CTZ43 DDV43 DNR43 DXN43 EHJ43 ERF43 FBB43 FKX43 FUT43 GEP43 GOL43 GYH43 HID43 HRZ43 IBV43 ILR43 IVN43 JFJ43 JPF43 JZB43 KIX43 KST43 LCP43 LML43 LWH43 MGD43 MPZ43 MZV43 NJR43 NTN43 ODJ43 ONF43 OXB43 PGX43 PQT43 QAP43 QKL43 QUH43 RED43 RNZ43 RXV43 SHR43 SRN43 TBJ43 TLF43 TVB43 UEX43 UOT43 UYP43 VIL43 VSH43 WCD43 WLZ43 WVV43 N65579 JJ65579 TF65579 ADB65579 AMX65579 AWT65579 BGP65579 BQL65579 CAH65579 CKD65579 CTZ65579 DDV65579 DNR65579 DXN65579 EHJ65579 ERF65579 FBB65579 FKX65579 FUT65579 GEP65579 GOL65579 GYH65579 HID65579 HRZ65579 IBV65579 ILR65579 IVN65579 JFJ65579 JPF65579 JZB65579 KIX65579 KST65579 LCP65579 LML65579 LWH65579 MGD65579 MPZ65579 MZV65579 NJR65579 NTN65579 ODJ65579 ONF65579 OXB65579 PGX65579 PQT65579 QAP65579 QKL65579 QUH65579 RED65579 RNZ65579 RXV65579 SHR65579 SRN65579 TBJ65579 TLF65579 TVB65579 UEX65579 UOT65579 UYP65579 VIL65579 VSH65579 WCD65579 WLZ65579 WVV65579 N131115 JJ131115 TF131115 ADB131115 AMX131115 AWT131115 BGP131115 BQL131115 CAH131115 CKD131115 CTZ131115 DDV131115 DNR131115 DXN131115 EHJ131115 ERF131115 FBB131115 FKX131115 FUT131115 GEP131115 GOL131115 GYH131115 HID131115 HRZ131115 IBV131115 ILR131115 IVN131115 JFJ131115 JPF131115 JZB131115 KIX131115 KST131115 LCP131115 LML131115 LWH131115 MGD131115 MPZ131115 MZV131115 NJR131115 NTN131115 ODJ131115 ONF131115 OXB131115 PGX131115 PQT131115 QAP131115 QKL131115 QUH131115 RED131115 RNZ131115 RXV131115 SHR131115 SRN131115 TBJ131115 TLF131115 TVB131115 UEX131115 UOT131115 UYP131115 VIL131115 VSH131115 WCD131115 WLZ131115 WVV131115 N196651 JJ196651 TF196651 ADB196651 AMX196651 AWT196651 BGP196651 BQL196651 CAH196651 CKD196651 CTZ196651 DDV196651 DNR196651 DXN196651 EHJ196651 ERF196651 FBB196651 FKX196651 FUT196651 GEP196651 GOL196651 GYH196651 HID196651 HRZ196651 IBV196651 ILR196651 IVN196651 JFJ196651 JPF196651 JZB196651 KIX196651 KST196651 LCP196651 LML196651 LWH196651 MGD196651 MPZ196651 MZV196651 NJR196651 NTN196651 ODJ196651 ONF196651 OXB196651 PGX196651 PQT196651 QAP196651 QKL196651 QUH196651 RED196651 RNZ196651 RXV196651 SHR196651 SRN196651 TBJ196651 TLF196651 TVB196651 UEX196651 UOT196651 UYP196651 VIL196651 VSH196651 WCD196651 WLZ196651 WVV196651 N262187 JJ262187 TF262187 ADB262187 AMX262187 AWT262187 BGP262187 BQL262187 CAH262187 CKD262187 CTZ262187 DDV262187 DNR262187 DXN262187 EHJ262187 ERF262187 FBB262187 FKX262187 FUT262187 GEP262187 GOL262187 GYH262187 HID262187 HRZ262187 IBV262187 ILR262187 IVN262187 JFJ262187 JPF262187 JZB262187 KIX262187 KST262187 LCP262187 LML262187 LWH262187 MGD262187 MPZ262187 MZV262187 NJR262187 NTN262187 ODJ262187 ONF262187 OXB262187 PGX262187 PQT262187 QAP262187 QKL262187 QUH262187 RED262187 RNZ262187 RXV262187 SHR262187 SRN262187 TBJ262187 TLF262187 TVB262187 UEX262187 UOT262187 UYP262187 VIL262187 VSH262187 WCD262187 WLZ262187 WVV262187 N327723 JJ327723 TF327723 ADB327723 AMX327723 AWT327723 BGP327723 BQL327723 CAH327723 CKD327723 CTZ327723 DDV327723 DNR327723 DXN327723 EHJ327723 ERF327723 FBB327723 FKX327723 FUT327723 GEP327723 GOL327723 GYH327723 HID327723 HRZ327723 IBV327723 ILR327723 IVN327723 JFJ327723 JPF327723 JZB327723 KIX327723 KST327723 LCP327723 LML327723 LWH327723 MGD327723 MPZ327723 MZV327723 NJR327723 NTN327723 ODJ327723 ONF327723 OXB327723 PGX327723 PQT327723 QAP327723 QKL327723 QUH327723 RED327723 RNZ327723 RXV327723 SHR327723 SRN327723 TBJ327723 TLF327723 TVB327723 UEX327723 UOT327723 UYP327723 VIL327723 VSH327723 WCD327723 WLZ327723 WVV327723 N393259 JJ393259 TF393259 ADB393259 AMX393259 AWT393259 BGP393259 BQL393259 CAH393259 CKD393259 CTZ393259 DDV393259 DNR393259 DXN393259 EHJ393259 ERF393259 FBB393259 FKX393259 FUT393259 GEP393259 GOL393259 GYH393259 HID393259 HRZ393259 IBV393259 ILR393259 IVN393259 JFJ393259 JPF393259 JZB393259 KIX393259 KST393259 LCP393259 LML393259 LWH393259 MGD393259 MPZ393259 MZV393259 NJR393259 NTN393259 ODJ393259 ONF393259 OXB393259 PGX393259 PQT393259 QAP393259 QKL393259 QUH393259 RED393259 RNZ393259 RXV393259 SHR393259 SRN393259 TBJ393259 TLF393259 TVB393259 UEX393259 UOT393259 UYP393259 VIL393259 VSH393259 WCD393259 WLZ393259 WVV393259 N458795 JJ458795 TF458795 ADB458795 AMX458795 AWT458795 BGP458795 BQL458795 CAH458795 CKD458795 CTZ458795 DDV458795 DNR458795 DXN458795 EHJ458795 ERF458795 FBB458795 FKX458795 FUT458795 GEP458795 GOL458795 GYH458795 HID458795 HRZ458795 IBV458795 ILR458795 IVN458795 JFJ458795 JPF458795 JZB458795 KIX458795 KST458795 LCP458795 LML458795 LWH458795 MGD458795 MPZ458795 MZV458795 NJR458795 NTN458795 ODJ458795 ONF458795 OXB458795 PGX458795 PQT458795 QAP458795 QKL458795 QUH458795 RED458795 RNZ458795 RXV458795 SHR458795 SRN458795 TBJ458795 TLF458795 TVB458795 UEX458795 UOT458795 UYP458795 VIL458795 VSH458795 WCD458795 WLZ458795 WVV458795 N524331 JJ524331 TF524331 ADB524331 AMX524331 AWT524331 BGP524331 BQL524331 CAH524331 CKD524331 CTZ524331 DDV524331 DNR524331 DXN524331 EHJ524331 ERF524331 FBB524331 FKX524331 FUT524331 GEP524331 GOL524331 GYH524331 HID524331 HRZ524331 IBV524331 ILR524331 IVN524331 JFJ524331 JPF524331 JZB524331 KIX524331 KST524331 LCP524331 LML524331 LWH524331 MGD524331 MPZ524331 MZV524331 NJR524331 NTN524331 ODJ524331 ONF524331 OXB524331 PGX524331 PQT524331 QAP524331 QKL524331 QUH524331 RED524331 RNZ524331 RXV524331 SHR524331 SRN524331 TBJ524331 TLF524331 TVB524331 UEX524331 UOT524331 UYP524331 VIL524331 VSH524331 WCD524331 WLZ524331 WVV524331 N589867 JJ589867 TF589867 ADB589867 AMX589867 AWT589867 BGP589867 BQL589867 CAH589867 CKD589867 CTZ589867 DDV589867 DNR589867 DXN589867 EHJ589867 ERF589867 FBB589867 FKX589867 FUT589867 GEP589867 GOL589867 GYH589867 HID589867 HRZ589867 IBV589867 ILR589867 IVN589867 JFJ589867 JPF589867 JZB589867 KIX589867 KST589867 LCP589867 LML589867 LWH589867 MGD589867 MPZ589867 MZV589867 NJR589867 NTN589867 ODJ589867 ONF589867 OXB589867 PGX589867 PQT589867 QAP589867 QKL589867 QUH589867 RED589867 RNZ589867 RXV589867 SHR589867 SRN589867 TBJ589867 TLF589867 TVB589867 UEX589867 UOT589867 UYP589867 VIL589867 VSH589867 WCD589867 WLZ589867 WVV589867 N655403 JJ655403 TF655403 ADB655403 AMX655403 AWT655403 BGP655403 BQL655403 CAH655403 CKD655403 CTZ655403 DDV655403 DNR655403 DXN655403 EHJ655403 ERF655403 FBB655403 FKX655403 FUT655403 GEP655403 GOL655403 GYH655403 HID655403 HRZ655403 IBV655403 ILR655403 IVN655403 JFJ655403 JPF655403 JZB655403 KIX655403 KST655403 LCP655403 LML655403 LWH655403 MGD655403 MPZ655403 MZV655403 NJR655403 NTN655403 ODJ655403 ONF655403 OXB655403 PGX655403 PQT655403 QAP655403 QKL655403 QUH655403 RED655403 RNZ655403 RXV655403 SHR655403 SRN655403 TBJ655403 TLF655403 TVB655403 UEX655403 UOT655403 UYP655403 VIL655403 VSH655403 WCD655403 WLZ655403 WVV655403 N720939 JJ720939 TF720939 ADB720939 AMX720939 AWT720939 BGP720939 BQL720939 CAH720939 CKD720939 CTZ720939 DDV720939 DNR720939 DXN720939 EHJ720939 ERF720939 FBB720939 FKX720939 FUT720939 GEP720939 GOL720939 GYH720939 HID720939 HRZ720939 IBV720939 ILR720939 IVN720939 JFJ720939 JPF720939 JZB720939 KIX720939 KST720939 LCP720939 LML720939 LWH720939 MGD720939 MPZ720939 MZV720939 NJR720939 NTN720939 ODJ720939 ONF720939 OXB720939 PGX720939 PQT720939 QAP720939 QKL720939 QUH720939 RED720939 RNZ720939 RXV720939 SHR720939 SRN720939 TBJ720939 TLF720939 TVB720939 UEX720939 UOT720939 UYP720939 VIL720939 VSH720939 WCD720939 WLZ720939 WVV720939 N786475 JJ786475 TF786475 ADB786475 AMX786475 AWT786475 BGP786475 BQL786475 CAH786475 CKD786475 CTZ786475 DDV786475 DNR786475 DXN786475 EHJ786475 ERF786475 FBB786475 FKX786475 FUT786475 GEP786475 GOL786475 GYH786475 HID786475 HRZ786475 IBV786475 ILR786475 IVN786475 JFJ786475 JPF786475 JZB786475 KIX786475 KST786475 LCP786475 LML786475 LWH786475 MGD786475 MPZ786475 MZV786475 NJR786475 NTN786475 ODJ786475 ONF786475 OXB786475 PGX786475 PQT786475 QAP786475 QKL786475 QUH786475 RED786475 RNZ786475 RXV786475 SHR786475 SRN786475 TBJ786475 TLF786475 TVB786475 UEX786475 UOT786475 UYP786475 VIL786475 VSH786475 WCD786475 WLZ786475 WVV786475 N852011 JJ852011 TF852011 ADB852011 AMX852011 AWT852011 BGP852011 BQL852011 CAH852011 CKD852011 CTZ852011 DDV852011 DNR852011 DXN852011 EHJ852011 ERF852011 FBB852011 FKX852011 FUT852011 GEP852011 GOL852011 GYH852011 HID852011 HRZ852011 IBV852011 ILR852011 IVN852011 JFJ852011 JPF852011 JZB852011 KIX852011 KST852011 LCP852011 LML852011 LWH852011 MGD852011 MPZ852011 MZV852011 NJR852011 NTN852011 ODJ852011 ONF852011 OXB852011 PGX852011 PQT852011 QAP852011 QKL852011 QUH852011 RED852011 RNZ852011 RXV852011 SHR852011 SRN852011 TBJ852011 TLF852011 TVB852011 UEX852011 UOT852011 UYP852011 VIL852011 VSH852011 WCD852011 WLZ852011 WVV852011 N917547 JJ917547 TF917547 ADB917547 AMX917547 AWT917547 BGP917547 BQL917547 CAH917547 CKD917547 CTZ917547 DDV917547 DNR917547 DXN917547 EHJ917547 ERF917547 FBB917547 FKX917547 FUT917547 GEP917547 GOL917547 GYH917547 HID917547 HRZ917547 IBV917547 ILR917547 IVN917547 JFJ917547 JPF917547 JZB917547 KIX917547 KST917547 LCP917547 LML917547 LWH917547 MGD917547 MPZ917547 MZV917547 NJR917547 NTN917547 ODJ917547 ONF917547 OXB917547 PGX917547 PQT917547 QAP917547 QKL917547 QUH917547 RED917547 RNZ917547 RXV917547 SHR917547 SRN917547 TBJ917547 TLF917547 TVB917547 UEX917547 UOT917547 UYP917547 VIL917547 VSH917547 WCD917547 WLZ917547 WVV917547 N983083 JJ983083 TF983083 ADB983083 AMX983083 AWT983083 BGP983083 BQL983083 CAH983083 CKD983083 CTZ983083 DDV983083 DNR983083 DXN983083 EHJ983083 ERF983083 FBB983083 FKX983083 FUT983083 GEP983083 GOL983083 GYH983083 HID983083 HRZ983083 IBV983083 ILR983083 IVN983083 JFJ983083 JPF983083 JZB983083 KIX983083 KST983083 LCP983083 LML983083 LWH983083 MGD983083 MPZ983083 MZV983083 NJR983083 NTN983083 ODJ983083 ONF983083 OXB983083 PGX983083 PQT983083 QAP983083 QKL983083 QUH983083 RED983083 RNZ983083 RXV983083 SHR983083 SRN983083 TBJ983083 TLF983083 TVB983083 UEX983083 UOT983083 UYP983083 VIL983083 VSH983083 WCD983083 WLZ983083 WVV983083">
      <formula1>"Timed,TriggerWidth"</formula1>
    </dataValidation>
    <dataValidation type="list" allowBlank="1" showInputMessage="1" showErrorMessage="1" errorTitle="超出范围" error="Please input 0 or 1" sqref="B13 B21">
      <formula1>"0,1"</formula1>
    </dataValidation>
    <dataValidation type="list" allowBlank="1" showInputMessage="1" showErrorMessage="1" errorTitle="超出范围" error="请输入0或者1" sqref="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IX21 ST21 ACP21 AML21 AWH21 BGD21 BPZ21 BZV21 CJR21 CTN21 DDJ21 DNF21 DXB21 EGX21 EQT21 FAP21 FKL21 FUH21 GED21 GNZ21 GXV21 HHR21 HRN21 IBJ21 ILF21 IVB21 JEX21 JOT21 JYP21 KIL21 KSH21 LCD21 LLZ21 LVV21 MFR21 MPN21 MZJ21 NJF21 NTB21 OCX21 OMT21 OWP21 PGL21 PQH21 QAD21 QJZ21 QTV21 RDR21 RNN21 RXJ21 SHF21 SRB21 TAX21 TKT21 TUP21 UEL21 UOH21 UYD21 VHZ21 VRV21 WBR21 WLN21 WVJ21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formula1>"0,1"</formula1>
    </dataValidation>
    <dataValidation type="whole" errorStyle="information" operator="lessThanOrEqual" allowBlank="1" showErrorMessage="1" error="设置水平Binning/Skipping时，需要同步修改水平ROI" sqref="N71 JJ71 TF71 ADB71 AMX71 AWT71 BGP71 BQL71 CAH71 CKD71 CTZ71 DDV71 DNR71 DXN71 EHJ71 ERF71 FBB71 FKX71 FUT71 GEP71 GOL71 GYH71 HID71 HRZ71 IBV71 ILR71 IVN71 JFJ71 JPF71 JZB71 KIX71 KST71 LCP71 LML71 LWH71 MGD71 MPZ71 MZV71 NJR71 NTN71 ODJ71 ONF71 OXB71 PGX71 PQT71 QAP71 QKL71 QUH71 RED71 RNZ71 RXV71 SHR71 SRN71 TBJ71 TLF71 TVB71 UEX71 UOT71 UYP71 VIL71 VSH71 WCD71 WLZ71 WVV71 N74 JJ74 TF74 ADB74 AMX74 AWT74 BGP74 BQL74 CAH74 CKD74 CTZ74 DDV74 DNR74 DXN74 EHJ74 ERF74 FBB74 FKX74 FUT74 GEP74 GOL74 GYH74 HID74 HRZ74 IBV74 ILR74 IVN74 JFJ74 JPF74 JZB74 KIX74 KST74 LCP74 LML74 LWH74 MGD74 MPZ74 MZV74 NJR74 NTN74 ODJ74 ONF74 OXB74 PGX74 PQT74 QAP74 QKL74 QUH74 RED74 RNZ74 RXV74 SHR74 SRN74 TBJ74 TLF74 TVB74 UEX74 UOT74 UYP74 VIL74 VSH74 WCD74 WLZ74 WVV74 N65607 JJ65607 TF65607 ADB65607 AMX65607 AWT65607 BGP65607 BQL65607 CAH65607 CKD65607 CTZ65607 DDV65607 DNR65607 DXN65607 EHJ65607 ERF65607 FBB65607 FKX65607 FUT65607 GEP65607 GOL65607 GYH65607 HID65607 HRZ65607 IBV65607 ILR65607 IVN65607 JFJ65607 JPF65607 JZB65607 KIX65607 KST65607 LCP65607 LML65607 LWH65607 MGD65607 MPZ65607 MZV65607 NJR65607 NTN65607 ODJ65607 ONF65607 OXB65607 PGX65607 PQT65607 QAP65607 QKL65607 QUH65607 RED65607 RNZ65607 RXV65607 SHR65607 SRN65607 TBJ65607 TLF65607 TVB65607 UEX65607 UOT65607 UYP65607 VIL65607 VSH65607 WCD65607 WLZ65607 WVV65607 N65610 JJ65610 TF65610 ADB65610 AMX65610 AWT65610 BGP65610 BQL65610 CAH65610 CKD65610 CTZ65610 DDV65610 DNR65610 DXN65610 EHJ65610 ERF65610 FBB65610 FKX65610 FUT65610 GEP65610 GOL65610 GYH65610 HID65610 HRZ65610 IBV65610 ILR65610 IVN65610 JFJ65610 JPF65610 JZB65610 KIX65610 KST65610 LCP65610 LML65610 LWH65610 MGD65610 MPZ65610 MZV65610 NJR65610 NTN65610 ODJ65610 ONF65610 OXB65610 PGX65610 PQT65610 QAP65610 QKL65610 QUH65610 RED65610 RNZ65610 RXV65610 SHR65610 SRN65610 TBJ65610 TLF65610 TVB65610 UEX65610 UOT65610 UYP65610 VIL65610 VSH65610 WCD65610 WLZ65610 WVV65610 N131143 JJ131143 TF131143 ADB131143 AMX131143 AWT131143 BGP131143 BQL131143 CAH131143 CKD131143 CTZ131143 DDV131143 DNR131143 DXN131143 EHJ131143 ERF131143 FBB131143 FKX131143 FUT131143 GEP131143 GOL131143 GYH131143 HID131143 HRZ131143 IBV131143 ILR131143 IVN131143 JFJ131143 JPF131143 JZB131143 KIX131143 KST131143 LCP131143 LML131143 LWH131143 MGD131143 MPZ131143 MZV131143 NJR131143 NTN131143 ODJ131143 ONF131143 OXB131143 PGX131143 PQT131143 QAP131143 QKL131143 QUH131143 RED131143 RNZ131143 RXV131143 SHR131143 SRN131143 TBJ131143 TLF131143 TVB131143 UEX131143 UOT131143 UYP131143 VIL131143 VSH131143 WCD131143 WLZ131143 WVV131143 N131146 JJ131146 TF131146 ADB131146 AMX131146 AWT131146 BGP131146 BQL131146 CAH131146 CKD131146 CTZ131146 DDV131146 DNR131146 DXN131146 EHJ131146 ERF131146 FBB131146 FKX131146 FUT131146 GEP131146 GOL131146 GYH131146 HID131146 HRZ131146 IBV131146 ILR131146 IVN131146 JFJ131146 JPF131146 JZB131146 KIX131146 KST131146 LCP131146 LML131146 LWH131146 MGD131146 MPZ131146 MZV131146 NJR131146 NTN131146 ODJ131146 ONF131146 OXB131146 PGX131146 PQT131146 QAP131146 QKL131146 QUH131146 RED131146 RNZ131146 RXV131146 SHR131146 SRN131146 TBJ131146 TLF131146 TVB131146 UEX131146 UOT131146 UYP131146 VIL131146 VSH131146 WCD131146 WLZ131146 WVV131146 N196679 JJ196679 TF196679 ADB196679 AMX196679 AWT196679 BGP196679 BQL196679 CAH196679 CKD196679 CTZ196679 DDV196679 DNR196679 DXN196679 EHJ196679 ERF196679 FBB196679 FKX196679 FUT196679 GEP196679 GOL196679 GYH196679 HID196679 HRZ196679 IBV196679 ILR196679 IVN196679 JFJ196679 JPF196679 JZB196679 KIX196679 KST196679 LCP196679 LML196679 LWH196679 MGD196679 MPZ196679 MZV196679 NJR196679 NTN196679 ODJ196679 ONF196679 OXB196679 PGX196679 PQT196679 QAP196679 QKL196679 QUH196679 RED196679 RNZ196679 RXV196679 SHR196679 SRN196679 TBJ196679 TLF196679 TVB196679 UEX196679 UOT196679 UYP196679 VIL196679 VSH196679 WCD196679 WLZ196679 WVV196679 N196682 JJ196682 TF196682 ADB196682 AMX196682 AWT196682 BGP196682 BQL196682 CAH196682 CKD196682 CTZ196682 DDV196682 DNR196682 DXN196682 EHJ196682 ERF196682 FBB196682 FKX196682 FUT196682 GEP196682 GOL196682 GYH196682 HID196682 HRZ196682 IBV196682 ILR196682 IVN196682 JFJ196682 JPF196682 JZB196682 KIX196682 KST196682 LCP196682 LML196682 LWH196682 MGD196682 MPZ196682 MZV196682 NJR196682 NTN196682 ODJ196682 ONF196682 OXB196682 PGX196682 PQT196682 QAP196682 QKL196682 QUH196682 RED196682 RNZ196682 RXV196682 SHR196682 SRN196682 TBJ196682 TLF196682 TVB196682 UEX196682 UOT196682 UYP196682 VIL196682 VSH196682 WCD196682 WLZ196682 WVV196682 N262215 JJ262215 TF262215 ADB262215 AMX262215 AWT262215 BGP262215 BQL262215 CAH262215 CKD262215 CTZ262215 DDV262215 DNR262215 DXN262215 EHJ262215 ERF262215 FBB262215 FKX262215 FUT262215 GEP262215 GOL262215 GYH262215 HID262215 HRZ262215 IBV262215 ILR262215 IVN262215 JFJ262215 JPF262215 JZB262215 KIX262215 KST262215 LCP262215 LML262215 LWH262215 MGD262215 MPZ262215 MZV262215 NJR262215 NTN262215 ODJ262215 ONF262215 OXB262215 PGX262215 PQT262215 QAP262215 QKL262215 QUH262215 RED262215 RNZ262215 RXV262215 SHR262215 SRN262215 TBJ262215 TLF262215 TVB262215 UEX262215 UOT262215 UYP262215 VIL262215 VSH262215 WCD262215 WLZ262215 WVV262215 N262218 JJ262218 TF262218 ADB262218 AMX262218 AWT262218 BGP262218 BQL262218 CAH262218 CKD262218 CTZ262218 DDV262218 DNR262218 DXN262218 EHJ262218 ERF262218 FBB262218 FKX262218 FUT262218 GEP262218 GOL262218 GYH262218 HID262218 HRZ262218 IBV262218 ILR262218 IVN262218 JFJ262218 JPF262218 JZB262218 KIX262218 KST262218 LCP262218 LML262218 LWH262218 MGD262218 MPZ262218 MZV262218 NJR262218 NTN262218 ODJ262218 ONF262218 OXB262218 PGX262218 PQT262218 QAP262218 QKL262218 QUH262218 RED262218 RNZ262218 RXV262218 SHR262218 SRN262218 TBJ262218 TLF262218 TVB262218 UEX262218 UOT262218 UYP262218 VIL262218 VSH262218 WCD262218 WLZ262218 WVV262218 N327751 JJ327751 TF327751 ADB327751 AMX327751 AWT327751 BGP327751 BQL327751 CAH327751 CKD327751 CTZ327751 DDV327751 DNR327751 DXN327751 EHJ327751 ERF327751 FBB327751 FKX327751 FUT327751 GEP327751 GOL327751 GYH327751 HID327751 HRZ327751 IBV327751 ILR327751 IVN327751 JFJ327751 JPF327751 JZB327751 KIX327751 KST327751 LCP327751 LML327751 LWH327751 MGD327751 MPZ327751 MZV327751 NJR327751 NTN327751 ODJ327751 ONF327751 OXB327751 PGX327751 PQT327751 QAP327751 QKL327751 QUH327751 RED327751 RNZ327751 RXV327751 SHR327751 SRN327751 TBJ327751 TLF327751 TVB327751 UEX327751 UOT327751 UYP327751 VIL327751 VSH327751 WCD327751 WLZ327751 WVV327751 N327754 JJ327754 TF327754 ADB327754 AMX327754 AWT327754 BGP327754 BQL327754 CAH327754 CKD327754 CTZ327754 DDV327754 DNR327754 DXN327754 EHJ327754 ERF327754 FBB327754 FKX327754 FUT327754 GEP327754 GOL327754 GYH327754 HID327754 HRZ327754 IBV327754 ILR327754 IVN327754 JFJ327754 JPF327754 JZB327754 KIX327754 KST327754 LCP327754 LML327754 LWH327754 MGD327754 MPZ327754 MZV327754 NJR327754 NTN327754 ODJ327754 ONF327754 OXB327754 PGX327754 PQT327754 QAP327754 QKL327754 QUH327754 RED327754 RNZ327754 RXV327754 SHR327754 SRN327754 TBJ327754 TLF327754 TVB327754 UEX327754 UOT327754 UYP327754 VIL327754 VSH327754 WCD327754 WLZ327754 WVV327754 N393287 JJ393287 TF393287 ADB393287 AMX393287 AWT393287 BGP393287 BQL393287 CAH393287 CKD393287 CTZ393287 DDV393287 DNR393287 DXN393287 EHJ393287 ERF393287 FBB393287 FKX393287 FUT393287 GEP393287 GOL393287 GYH393287 HID393287 HRZ393287 IBV393287 ILR393287 IVN393287 JFJ393287 JPF393287 JZB393287 KIX393287 KST393287 LCP393287 LML393287 LWH393287 MGD393287 MPZ393287 MZV393287 NJR393287 NTN393287 ODJ393287 ONF393287 OXB393287 PGX393287 PQT393287 QAP393287 QKL393287 QUH393287 RED393287 RNZ393287 RXV393287 SHR393287 SRN393287 TBJ393287 TLF393287 TVB393287 UEX393287 UOT393287 UYP393287 VIL393287 VSH393287 WCD393287 WLZ393287 WVV393287 N393290 JJ393290 TF393290 ADB393290 AMX393290 AWT393290 BGP393290 BQL393290 CAH393290 CKD393290 CTZ393290 DDV393290 DNR393290 DXN393290 EHJ393290 ERF393290 FBB393290 FKX393290 FUT393290 GEP393290 GOL393290 GYH393290 HID393290 HRZ393290 IBV393290 ILR393290 IVN393290 JFJ393290 JPF393290 JZB393290 KIX393290 KST393290 LCP393290 LML393290 LWH393290 MGD393290 MPZ393290 MZV393290 NJR393290 NTN393290 ODJ393290 ONF393290 OXB393290 PGX393290 PQT393290 QAP393290 QKL393290 QUH393290 RED393290 RNZ393290 RXV393290 SHR393290 SRN393290 TBJ393290 TLF393290 TVB393290 UEX393290 UOT393290 UYP393290 VIL393290 VSH393290 WCD393290 WLZ393290 WVV393290 N458823 JJ458823 TF458823 ADB458823 AMX458823 AWT458823 BGP458823 BQL458823 CAH458823 CKD458823 CTZ458823 DDV458823 DNR458823 DXN458823 EHJ458823 ERF458823 FBB458823 FKX458823 FUT458823 GEP458823 GOL458823 GYH458823 HID458823 HRZ458823 IBV458823 ILR458823 IVN458823 JFJ458823 JPF458823 JZB458823 KIX458823 KST458823 LCP458823 LML458823 LWH458823 MGD458823 MPZ458823 MZV458823 NJR458823 NTN458823 ODJ458823 ONF458823 OXB458823 PGX458823 PQT458823 QAP458823 QKL458823 QUH458823 RED458823 RNZ458823 RXV458823 SHR458823 SRN458823 TBJ458823 TLF458823 TVB458823 UEX458823 UOT458823 UYP458823 VIL458823 VSH458823 WCD458823 WLZ458823 WVV458823 N458826 JJ458826 TF458826 ADB458826 AMX458826 AWT458826 BGP458826 BQL458826 CAH458826 CKD458826 CTZ458826 DDV458826 DNR458826 DXN458826 EHJ458826 ERF458826 FBB458826 FKX458826 FUT458826 GEP458826 GOL458826 GYH458826 HID458826 HRZ458826 IBV458826 ILR458826 IVN458826 JFJ458826 JPF458826 JZB458826 KIX458826 KST458826 LCP458826 LML458826 LWH458826 MGD458826 MPZ458826 MZV458826 NJR458826 NTN458826 ODJ458826 ONF458826 OXB458826 PGX458826 PQT458826 QAP458826 QKL458826 QUH458826 RED458826 RNZ458826 RXV458826 SHR458826 SRN458826 TBJ458826 TLF458826 TVB458826 UEX458826 UOT458826 UYP458826 VIL458826 VSH458826 WCD458826 WLZ458826 WVV458826 N524359 JJ524359 TF524359 ADB524359 AMX524359 AWT524359 BGP524359 BQL524359 CAH524359 CKD524359 CTZ524359 DDV524359 DNR524359 DXN524359 EHJ524359 ERF524359 FBB524359 FKX524359 FUT524359 GEP524359 GOL524359 GYH524359 HID524359 HRZ524359 IBV524359 ILR524359 IVN524359 JFJ524359 JPF524359 JZB524359 KIX524359 KST524359 LCP524359 LML524359 LWH524359 MGD524359 MPZ524359 MZV524359 NJR524359 NTN524359 ODJ524359 ONF524359 OXB524359 PGX524359 PQT524359 QAP524359 QKL524359 QUH524359 RED524359 RNZ524359 RXV524359 SHR524359 SRN524359 TBJ524359 TLF524359 TVB524359 UEX524359 UOT524359 UYP524359 VIL524359 VSH524359 WCD524359 WLZ524359 WVV524359 N524362 JJ524362 TF524362 ADB524362 AMX524362 AWT524362 BGP524362 BQL524362 CAH524362 CKD524362 CTZ524362 DDV524362 DNR524362 DXN524362 EHJ524362 ERF524362 FBB524362 FKX524362 FUT524362 GEP524362 GOL524362 GYH524362 HID524362 HRZ524362 IBV524362 ILR524362 IVN524362 JFJ524362 JPF524362 JZB524362 KIX524362 KST524362 LCP524362 LML524362 LWH524362 MGD524362 MPZ524362 MZV524362 NJR524362 NTN524362 ODJ524362 ONF524362 OXB524362 PGX524362 PQT524362 QAP524362 QKL524362 QUH524362 RED524362 RNZ524362 RXV524362 SHR524362 SRN524362 TBJ524362 TLF524362 TVB524362 UEX524362 UOT524362 UYP524362 VIL524362 VSH524362 WCD524362 WLZ524362 WVV524362 N589895 JJ589895 TF589895 ADB589895 AMX589895 AWT589895 BGP589895 BQL589895 CAH589895 CKD589895 CTZ589895 DDV589895 DNR589895 DXN589895 EHJ589895 ERF589895 FBB589895 FKX589895 FUT589895 GEP589895 GOL589895 GYH589895 HID589895 HRZ589895 IBV589895 ILR589895 IVN589895 JFJ589895 JPF589895 JZB589895 KIX589895 KST589895 LCP589895 LML589895 LWH589895 MGD589895 MPZ589895 MZV589895 NJR589895 NTN589895 ODJ589895 ONF589895 OXB589895 PGX589895 PQT589895 QAP589895 QKL589895 QUH589895 RED589895 RNZ589895 RXV589895 SHR589895 SRN589895 TBJ589895 TLF589895 TVB589895 UEX589895 UOT589895 UYP589895 VIL589895 VSH589895 WCD589895 WLZ589895 WVV589895 N589898 JJ589898 TF589898 ADB589898 AMX589898 AWT589898 BGP589898 BQL589898 CAH589898 CKD589898 CTZ589898 DDV589898 DNR589898 DXN589898 EHJ589898 ERF589898 FBB589898 FKX589898 FUT589898 GEP589898 GOL589898 GYH589898 HID589898 HRZ589898 IBV589898 ILR589898 IVN589898 JFJ589898 JPF589898 JZB589898 KIX589898 KST589898 LCP589898 LML589898 LWH589898 MGD589898 MPZ589898 MZV589898 NJR589898 NTN589898 ODJ589898 ONF589898 OXB589898 PGX589898 PQT589898 QAP589898 QKL589898 QUH589898 RED589898 RNZ589898 RXV589898 SHR589898 SRN589898 TBJ589898 TLF589898 TVB589898 UEX589898 UOT589898 UYP589898 VIL589898 VSH589898 WCD589898 WLZ589898 WVV589898 N655431 JJ655431 TF655431 ADB655431 AMX655431 AWT655431 BGP655431 BQL655431 CAH655431 CKD655431 CTZ655431 DDV655431 DNR655431 DXN655431 EHJ655431 ERF655431 FBB655431 FKX655431 FUT655431 GEP655431 GOL655431 GYH655431 HID655431 HRZ655431 IBV655431 ILR655431 IVN655431 JFJ655431 JPF655431 JZB655431 KIX655431 KST655431 LCP655431 LML655431 LWH655431 MGD655431 MPZ655431 MZV655431 NJR655431 NTN655431 ODJ655431 ONF655431 OXB655431 PGX655431 PQT655431 QAP655431 QKL655431 QUH655431 RED655431 RNZ655431 RXV655431 SHR655431 SRN655431 TBJ655431 TLF655431 TVB655431 UEX655431 UOT655431 UYP655431 VIL655431 VSH655431 WCD655431 WLZ655431 WVV655431 N655434 JJ655434 TF655434 ADB655434 AMX655434 AWT655434 BGP655434 BQL655434 CAH655434 CKD655434 CTZ655434 DDV655434 DNR655434 DXN655434 EHJ655434 ERF655434 FBB655434 FKX655434 FUT655434 GEP655434 GOL655434 GYH655434 HID655434 HRZ655434 IBV655434 ILR655434 IVN655434 JFJ655434 JPF655434 JZB655434 KIX655434 KST655434 LCP655434 LML655434 LWH655434 MGD655434 MPZ655434 MZV655434 NJR655434 NTN655434 ODJ655434 ONF655434 OXB655434 PGX655434 PQT655434 QAP655434 QKL655434 QUH655434 RED655434 RNZ655434 RXV655434 SHR655434 SRN655434 TBJ655434 TLF655434 TVB655434 UEX655434 UOT655434 UYP655434 VIL655434 VSH655434 WCD655434 WLZ655434 WVV655434 N720967 JJ720967 TF720967 ADB720967 AMX720967 AWT720967 BGP720967 BQL720967 CAH720967 CKD720967 CTZ720967 DDV720967 DNR720967 DXN720967 EHJ720967 ERF720967 FBB720967 FKX720967 FUT720967 GEP720967 GOL720967 GYH720967 HID720967 HRZ720967 IBV720967 ILR720967 IVN720967 JFJ720967 JPF720967 JZB720967 KIX720967 KST720967 LCP720967 LML720967 LWH720967 MGD720967 MPZ720967 MZV720967 NJR720967 NTN720967 ODJ720967 ONF720967 OXB720967 PGX720967 PQT720967 QAP720967 QKL720967 QUH720967 RED720967 RNZ720967 RXV720967 SHR720967 SRN720967 TBJ720967 TLF720967 TVB720967 UEX720967 UOT720967 UYP720967 VIL720967 VSH720967 WCD720967 WLZ720967 WVV720967 N720970 JJ720970 TF720970 ADB720970 AMX720970 AWT720970 BGP720970 BQL720970 CAH720970 CKD720970 CTZ720970 DDV720970 DNR720970 DXN720970 EHJ720970 ERF720970 FBB720970 FKX720970 FUT720970 GEP720970 GOL720970 GYH720970 HID720970 HRZ720970 IBV720970 ILR720970 IVN720970 JFJ720970 JPF720970 JZB720970 KIX720970 KST720970 LCP720970 LML720970 LWH720970 MGD720970 MPZ720970 MZV720970 NJR720970 NTN720970 ODJ720970 ONF720970 OXB720970 PGX720970 PQT720970 QAP720970 QKL720970 QUH720970 RED720970 RNZ720970 RXV720970 SHR720970 SRN720970 TBJ720970 TLF720970 TVB720970 UEX720970 UOT720970 UYP720970 VIL720970 VSH720970 WCD720970 WLZ720970 WVV720970 N786503 JJ786503 TF786503 ADB786503 AMX786503 AWT786503 BGP786503 BQL786503 CAH786503 CKD786503 CTZ786503 DDV786503 DNR786503 DXN786503 EHJ786503 ERF786503 FBB786503 FKX786503 FUT786503 GEP786503 GOL786503 GYH786503 HID786503 HRZ786503 IBV786503 ILR786503 IVN786503 JFJ786503 JPF786503 JZB786503 KIX786503 KST786503 LCP786503 LML786503 LWH786503 MGD786503 MPZ786503 MZV786503 NJR786503 NTN786503 ODJ786503 ONF786503 OXB786503 PGX786503 PQT786503 QAP786503 QKL786503 QUH786503 RED786503 RNZ786503 RXV786503 SHR786503 SRN786503 TBJ786503 TLF786503 TVB786503 UEX786503 UOT786503 UYP786503 VIL786503 VSH786503 WCD786503 WLZ786503 WVV786503 N786506 JJ786506 TF786506 ADB786506 AMX786506 AWT786506 BGP786506 BQL786506 CAH786506 CKD786506 CTZ786506 DDV786506 DNR786506 DXN786506 EHJ786506 ERF786506 FBB786506 FKX786506 FUT786506 GEP786506 GOL786506 GYH786506 HID786506 HRZ786506 IBV786506 ILR786506 IVN786506 JFJ786506 JPF786506 JZB786506 KIX786506 KST786506 LCP786506 LML786506 LWH786506 MGD786506 MPZ786506 MZV786506 NJR786506 NTN786506 ODJ786506 ONF786506 OXB786506 PGX786506 PQT786506 QAP786506 QKL786506 QUH786506 RED786506 RNZ786506 RXV786506 SHR786506 SRN786506 TBJ786506 TLF786506 TVB786506 UEX786506 UOT786506 UYP786506 VIL786506 VSH786506 WCD786506 WLZ786506 WVV786506 N852039 JJ852039 TF852039 ADB852039 AMX852039 AWT852039 BGP852039 BQL852039 CAH852039 CKD852039 CTZ852039 DDV852039 DNR852039 DXN852039 EHJ852039 ERF852039 FBB852039 FKX852039 FUT852039 GEP852039 GOL852039 GYH852039 HID852039 HRZ852039 IBV852039 ILR852039 IVN852039 JFJ852039 JPF852039 JZB852039 KIX852039 KST852039 LCP852039 LML852039 LWH852039 MGD852039 MPZ852039 MZV852039 NJR852039 NTN852039 ODJ852039 ONF852039 OXB852039 PGX852039 PQT852039 QAP852039 QKL852039 QUH852039 RED852039 RNZ852039 RXV852039 SHR852039 SRN852039 TBJ852039 TLF852039 TVB852039 UEX852039 UOT852039 UYP852039 VIL852039 VSH852039 WCD852039 WLZ852039 WVV852039 N852042 JJ852042 TF852042 ADB852042 AMX852042 AWT852042 BGP852042 BQL852042 CAH852042 CKD852042 CTZ852042 DDV852042 DNR852042 DXN852042 EHJ852042 ERF852042 FBB852042 FKX852042 FUT852042 GEP852042 GOL852042 GYH852042 HID852042 HRZ852042 IBV852042 ILR852042 IVN852042 JFJ852042 JPF852042 JZB852042 KIX852042 KST852042 LCP852042 LML852042 LWH852042 MGD852042 MPZ852042 MZV852042 NJR852042 NTN852042 ODJ852042 ONF852042 OXB852042 PGX852042 PQT852042 QAP852042 QKL852042 QUH852042 RED852042 RNZ852042 RXV852042 SHR852042 SRN852042 TBJ852042 TLF852042 TVB852042 UEX852042 UOT852042 UYP852042 VIL852042 VSH852042 WCD852042 WLZ852042 WVV852042 N917575 JJ917575 TF917575 ADB917575 AMX917575 AWT917575 BGP917575 BQL917575 CAH917575 CKD917575 CTZ917575 DDV917575 DNR917575 DXN917575 EHJ917575 ERF917575 FBB917575 FKX917575 FUT917575 GEP917575 GOL917575 GYH917575 HID917575 HRZ917575 IBV917575 ILR917575 IVN917575 JFJ917575 JPF917575 JZB917575 KIX917575 KST917575 LCP917575 LML917575 LWH917575 MGD917575 MPZ917575 MZV917575 NJR917575 NTN917575 ODJ917575 ONF917575 OXB917575 PGX917575 PQT917575 QAP917575 QKL917575 QUH917575 RED917575 RNZ917575 RXV917575 SHR917575 SRN917575 TBJ917575 TLF917575 TVB917575 UEX917575 UOT917575 UYP917575 VIL917575 VSH917575 WCD917575 WLZ917575 WVV917575 N917578 JJ917578 TF917578 ADB917578 AMX917578 AWT917578 BGP917578 BQL917578 CAH917578 CKD917578 CTZ917578 DDV917578 DNR917578 DXN917578 EHJ917578 ERF917578 FBB917578 FKX917578 FUT917578 GEP917578 GOL917578 GYH917578 HID917578 HRZ917578 IBV917578 ILR917578 IVN917578 JFJ917578 JPF917578 JZB917578 KIX917578 KST917578 LCP917578 LML917578 LWH917578 MGD917578 MPZ917578 MZV917578 NJR917578 NTN917578 ODJ917578 ONF917578 OXB917578 PGX917578 PQT917578 QAP917578 QKL917578 QUH917578 RED917578 RNZ917578 RXV917578 SHR917578 SRN917578 TBJ917578 TLF917578 TVB917578 UEX917578 UOT917578 UYP917578 VIL917578 VSH917578 WCD917578 WLZ917578 WVV917578 N983111 JJ983111 TF983111 ADB983111 AMX983111 AWT983111 BGP983111 BQL983111 CAH983111 CKD983111 CTZ983111 DDV983111 DNR983111 DXN983111 EHJ983111 ERF983111 FBB983111 FKX983111 FUT983111 GEP983111 GOL983111 GYH983111 HID983111 HRZ983111 IBV983111 ILR983111 IVN983111 JFJ983111 JPF983111 JZB983111 KIX983111 KST983111 LCP983111 LML983111 LWH983111 MGD983111 MPZ983111 MZV983111 NJR983111 NTN983111 ODJ983111 ONF983111 OXB983111 PGX983111 PQT983111 QAP983111 QKL983111 QUH983111 RED983111 RNZ983111 RXV983111 SHR983111 SRN983111 TBJ983111 TLF983111 TVB983111 UEX983111 UOT983111 UYP983111 VIL983111 VSH983111 WCD983111 WLZ983111 WVV983111 N983114 JJ983114 TF983114 ADB983114 AMX983114 AWT983114 BGP983114 BQL983114 CAH983114 CKD983114 CTZ983114 DDV983114 DNR983114 DXN983114 EHJ983114 ERF983114 FBB983114 FKX983114 FUT983114 GEP983114 GOL983114 GYH983114 HID983114 HRZ983114 IBV983114 ILR983114 IVN983114 JFJ983114 JPF983114 JZB983114 KIX983114 KST983114 LCP983114 LML983114 LWH983114 MGD983114 MPZ983114 MZV983114 NJR983114 NTN983114 ODJ983114 ONF983114 OXB983114 PGX983114 PQT983114 QAP983114 QKL983114 QUH983114 RED983114 RNZ983114 RXV983114 SHR983114 SRN983114 TBJ983114 TLF983114 TVB983114 UEX983114 UOT983114 UYP983114 VIL983114 VSH983114 WCD983114 WLZ983114 WVV983114">
      <formula1>1</formula1>
    </dataValidation>
    <dataValidation type="custom" allowBlank="1" showInputMessage="1" showErrorMessage="1" error="Set the value range :[ 0.1,10000.0], accurate to one decimal" sqref="B14">
      <formula1>AND(TRUNC(B14,1)=B14,(B14&gt;=0.1),(B14&lt;=10000))</formula1>
    </dataValidation>
    <dataValidation type="custom" allowBlank="1" showInputMessage="1" showErrorMessage="1" error="设置值范围0.1~10000.0，精确到一位小数" sqref="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C65550 IY65550 SU65550 ACQ65550 AMM65550 AWI65550 BGE65550 BQA65550 BZW65550 CJS65550 CTO65550 DDK65550 DNG65550 DXC65550 EGY65550 EQU65550 FAQ65550 FKM65550 FUI65550 GEE65550 GOA65550 GXW65550 HHS65550 HRO65550 IBK65550 ILG65550 IVC65550 JEY65550 JOU65550 JYQ65550 KIM65550 KSI65550 LCE65550 LMA65550 LVW65550 MFS65550 MPO65550 MZK65550 NJG65550 NTC65550 OCY65550 OMU65550 OWQ65550 PGM65550 PQI65550 QAE65550 QKA65550 QTW65550 RDS65550 RNO65550 RXK65550 SHG65550 SRC65550 TAY65550 TKU65550 TUQ65550 UEM65550 UOI65550 UYE65550 VIA65550 VRW65550 WBS65550 WLO65550 WVK65550 C131086 IY131086 SU131086 ACQ131086 AMM131086 AWI131086 BGE131086 BQA131086 BZW131086 CJS131086 CTO131086 DDK131086 DNG131086 DXC131086 EGY131086 EQU131086 FAQ131086 FKM131086 FUI131086 GEE131086 GOA131086 GXW131086 HHS131086 HRO131086 IBK131086 ILG131086 IVC131086 JEY131086 JOU131086 JYQ131086 KIM131086 KSI131086 LCE131086 LMA131086 LVW131086 MFS131086 MPO131086 MZK131086 NJG131086 NTC131086 OCY131086 OMU131086 OWQ131086 PGM131086 PQI131086 QAE131086 QKA131086 QTW131086 RDS131086 RNO131086 RXK131086 SHG131086 SRC131086 TAY131086 TKU131086 TUQ131086 UEM131086 UOI131086 UYE131086 VIA131086 VRW131086 WBS131086 WLO131086 WVK131086 C196622 IY196622 SU196622 ACQ196622 AMM196622 AWI196622 BGE196622 BQA196622 BZW196622 CJS196622 CTO196622 DDK196622 DNG196622 DXC196622 EGY196622 EQU196622 FAQ196622 FKM196622 FUI196622 GEE196622 GOA196622 GXW196622 HHS196622 HRO196622 IBK196622 ILG196622 IVC196622 JEY196622 JOU196622 JYQ196622 KIM196622 KSI196622 LCE196622 LMA196622 LVW196622 MFS196622 MPO196622 MZK196622 NJG196622 NTC196622 OCY196622 OMU196622 OWQ196622 PGM196622 PQI196622 QAE196622 QKA196622 QTW196622 RDS196622 RNO196622 RXK196622 SHG196622 SRC196622 TAY196622 TKU196622 TUQ196622 UEM196622 UOI196622 UYE196622 VIA196622 VRW196622 WBS196622 WLO196622 WVK196622 C262158 IY262158 SU262158 ACQ262158 AMM262158 AWI262158 BGE262158 BQA262158 BZW262158 CJS262158 CTO262158 DDK262158 DNG262158 DXC262158 EGY262158 EQU262158 FAQ262158 FKM262158 FUI262158 GEE262158 GOA262158 GXW262158 HHS262158 HRO262158 IBK262158 ILG262158 IVC262158 JEY262158 JOU262158 JYQ262158 KIM262158 KSI262158 LCE262158 LMA262158 LVW262158 MFS262158 MPO262158 MZK262158 NJG262158 NTC262158 OCY262158 OMU262158 OWQ262158 PGM262158 PQI262158 QAE262158 QKA262158 QTW262158 RDS262158 RNO262158 RXK262158 SHG262158 SRC262158 TAY262158 TKU262158 TUQ262158 UEM262158 UOI262158 UYE262158 VIA262158 VRW262158 WBS262158 WLO262158 WVK262158 C327694 IY327694 SU327694 ACQ327694 AMM327694 AWI327694 BGE327694 BQA327694 BZW327694 CJS327694 CTO327694 DDK327694 DNG327694 DXC327694 EGY327694 EQU327694 FAQ327694 FKM327694 FUI327694 GEE327694 GOA327694 GXW327694 HHS327694 HRO327694 IBK327694 ILG327694 IVC327694 JEY327694 JOU327694 JYQ327694 KIM327694 KSI327694 LCE327694 LMA327694 LVW327694 MFS327694 MPO327694 MZK327694 NJG327694 NTC327694 OCY327694 OMU327694 OWQ327694 PGM327694 PQI327694 QAE327694 QKA327694 QTW327694 RDS327694 RNO327694 RXK327694 SHG327694 SRC327694 TAY327694 TKU327694 TUQ327694 UEM327694 UOI327694 UYE327694 VIA327694 VRW327694 WBS327694 WLO327694 WVK327694 C393230 IY393230 SU393230 ACQ393230 AMM393230 AWI393230 BGE393230 BQA393230 BZW393230 CJS393230 CTO393230 DDK393230 DNG393230 DXC393230 EGY393230 EQU393230 FAQ393230 FKM393230 FUI393230 GEE393230 GOA393230 GXW393230 HHS393230 HRO393230 IBK393230 ILG393230 IVC393230 JEY393230 JOU393230 JYQ393230 KIM393230 KSI393230 LCE393230 LMA393230 LVW393230 MFS393230 MPO393230 MZK393230 NJG393230 NTC393230 OCY393230 OMU393230 OWQ393230 PGM393230 PQI393230 QAE393230 QKA393230 QTW393230 RDS393230 RNO393230 RXK393230 SHG393230 SRC393230 TAY393230 TKU393230 TUQ393230 UEM393230 UOI393230 UYE393230 VIA393230 VRW393230 WBS393230 WLO393230 WVK393230 C458766 IY458766 SU458766 ACQ458766 AMM458766 AWI458766 BGE458766 BQA458766 BZW458766 CJS458766 CTO458766 DDK458766 DNG458766 DXC458766 EGY458766 EQU458766 FAQ458766 FKM458766 FUI458766 GEE458766 GOA458766 GXW458766 HHS458766 HRO458766 IBK458766 ILG458766 IVC458766 JEY458766 JOU458766 JYQ458766 KIM458766 KSI458766 LCE458766 LMA458766 LVW458766 MFS458766 MPO458766 MZK458766 NJG458766 NTC458766 OCY458766 OMU458766 OWQ458766 PGM458766 PQI458766 QAE458766 QKA458766 QTW458766 RDS458766 RNO458766 RXK458766 SHG458766 SRC458766 TAY458766 TKU458766 TUQ458766 UEM458766 UOI458766 UYE458766 VIA458766 VRW458766 WBS458766 WLO458766 WVK458766 C524302 IY524302 SU524302 ACQ524302 AMM524302 AWI524302 BGE524302 BQA524302 BZW524302 CJS524302 CTO524302 DDK524302 DNG524302 DXC524302 EGY524302 EQU524302 FAQ524302 FKM524302 FUI524302 GEE524302 GOA524302 GXW524302 HHS524302 HRO524302 IBK524302 ILG524302 IVC524302 JEY524302 JOU524302 JYQ524302 KIM524302 KSI524302 LCE524302 LMA524302 LVW524302 MFS524302 MPO524302 MZK524302 NJG524302 NTC524302 OCY524302 OMU524302 OWQ524302 PGM524302 PQI524302 QAE524302 QKA524302 QTW524302 RDS524302 RNO524302 RXK524302 SHG524302 SRC524302 TAY524302 TKU524302 TUQ524302 UEM524302 UOI524302 UYE524302 VIA524302 VRW524302 WBS524302 WLO524302 WVK524302 C589838 IY589838 SU589838 ACQ589838 AMM589838 AWI589838 BGE589838 BQA589838 BZW589838 CJS589838 CTO589838 DDK589838 DNG589838 DXC589838 EGY589838 EQU589838 FAQ589838 FKM589838 FUI589838 GEE589838 GOA589838 GXW589838 HHS589838 HRO589838 IBK589838 ILG589838 IVC589838 JEY589838 JOU589838 JYQ589838 KIM589838 KSI589838 LCE589838 LMA589838 LVW589838 MFS589838 MPO589838 MZK589838 NJG589838 NTC589838 OCY589838 OMU589838 OWQ589838 PGM589838 PQI589838 QAE589838 QKA589838 QTW589838 RDS589838 RNO589838 RXK589838 SHG589838 SRC589838 TAY589838 TKU589838 TUQ589838 UEM589838 UOI589838 UYE589838 VIA589838 VRW589838 WBS589838 WLO589838 WVK589838 C655374 IY655374 SU655374 ACQ655374 AMM655374 AWI655374 BGE655374 BQA655374 BZW655374 CJS655374 CTO655374 DDK655374 DNG655374 DXC655374 EGY655374 EQU655374 FAQ655374 FKM655374 FUI655374 GEE655374 GOA655374 GXW655374 HHS655374 HRO655374 IBK655374 ILG655374 IVC655374 JEY655374 JOU655374 JYQ655374 KIM655374 KSI655374 LCE655374 LMA655374 LVW655374 MFS655374 MPO655374 MZK655374 NJG655374 NTC655374 OCY655374 OMU655374 OWQ655374 PGM655374 PQI655374 QAE655374 QKA655374 QTW655374 RDS655374 RNO655374 RXK655374 SHG655374 SRC655374 TAY655374 TKU655374 TUQ655374 UEM655374 UOI655374 UYE655374 VIA655374 VRW655374 WBS655374 WLO655374 WVK655374 C720910 IY720910 SU720910 ACQ720910 AMM720910 AWI720910 BGE720910 BQA720910 BZW720910 CJS720910 CTO720910 DDK720910 DNG720910 DXC720910 EGY720910 EQU720910 FAQ720910 FKM720910 FUI720910 GEE720910 GOA720910 GXW720910 HHS720910 HRO720910 IBK720910 ILG720910 IVC720910 JEY720910 JOU720910 JYQ720910 KIM720910 KSI720910 LCE720910 LMA720910 LVW720910 MFS720910 MPO720910 MZK720910 NJG720910 NTC720910 OCY720910 OMU720910 OWQ720910 PGM720910 PQI720910 QAE720910 QKA720910 QTW720910 RDS720910 RNO720910 RXK720910 SHG720910 SRC720910 TAY720910 TKU720910 TUQ720910 UEM720910 UOI720910 UYE720910 VIA720910 VRW720910 WBS720910 WLO720910 WVK720910 C786446 IY786446 SU786446 ACQ786446 AMM786446 AWI786446 BGE786446 BQA786446 BZW786446 CJS786446 CTO786446 DDK786446 DNG786446 DXC786446 EGY786446 EQU786446 FAQ786446 FKM786446 FUI786446 GEE786446 GOA786446 GXW786446 HHS786446 HRO786446 IBK786446 ILG786446 IVC786446 JEY786446 JOU786446 JYQ786446 KIM786446 KSI786446 LCE786446 LMA786446 LVW786446 MFS786446 MPO786446 MZK786446 NJG786446 NTC786446 OCY786446 OMU786446 OWQ786446 PGM786446 PQI786446 QAE786446 QKA786446 QTW786446 RDS786446 RNO786446 RXK786446 SHG786446 SRC786446 TAY786446 TKU786446 TUQ786446 UEM786446 UOI786446 UYE786446 VIA786446 VRW786446 WBS786446 WLO786446 WVK786446 C851982 IY851982 SU851982 ACQ851982 AMM851982 AWI851982 BGE851982 BQA851982 BZW851982 CJS851982 CTO851982 DDK851982 DNG851982 DXC851982 EGY851982 EQU851982 FAQ851982 FKM851982 FUI851982 GEE851982 GOA851982 GXW851982 HHS851982 HRO851982 IBK851982 ILG851982 IVC851982 JEY851982 JOU851982 JYQ851982 KIM851982 KSI851982 LCE851982 LMA851982 LVW851982 MFS851982 MPO851982 MZK851982 NJG851982 NTC851982 OCY851982 OMU851982 OWQ851982 PGM851982 PQI851982 QAE851982 QKA851982 QTW851982 RDS851982 RNO851982 RXK851982 SHG851982 SRC851982 TAY851982 TKU851982 TUQ851982 UEM851982 UOI851982 UYE851982 VIA851982 VRW851982 WBS851982 WLO851982 WVK851982 C917518 IY917518 SU917518 ACQ917518 AMM917518 AWI917518 BGE917518 BQA917518 BZW917518 CJS917518 CTO917518 DDK917518 DNG917518 DXC917518 EGY917518 EQU917518 FAQ917518 FKM917518 FUI917518 GEE917518 GOA917518 GXW917518 HHS917518 HRO917518 IBK917518 ILG917518 IVC917518 JEY917518 JOU917518 JYQ917518 KIM917518 KSI917518 LCE917518 LMA917518 LVW917518 MFS917518 MPO917518 MZK917518 NJG917518 NTC917518 OCY917518 OMU917518 OWQ917518 PGM917518 PQI917518 QAE917518 QKA917518 QTW917518 RDS917518 RNO917518 RXK917518 SHG917518 SRC917518 TAY917518 TKU917518 TUQ917518 UEM917518 UOI917518 UYE917518 VIA917518 VRW917518 WBS917518 WLO917518 WVK917518 C983054 IY983054 SU983054 ACQ983054 AMM983054 AWI983054 BGE983054 BQA983054 BZW983054 CJS983054 CTO983054 DDK983054 DNG983054 DXC983054 EGY983054 EQU983054 FAQ983054 FKM983054 FUI983054 GEE983054 GOA983054 GXW983054 HHS983054 HRO983054 IBK983054 ILG983054 IVC983054 JEY983054 JOU983054 JYQ983054 KIM983054 KSI983054 LCE983054 LMA983054 LVW983054 MFS983054 MPO983054 MZK983054 NJG983054 NTC983054 OCY983054 OMU983054 OWQ983054 PGM983054 PQI983054 QAE983054 QKA983054 QTW983054 RDS983054 RNO983054 RXK983054 SHG983054 SRC983054 TAY983054 TKU983054 TUQ983054 UEM983054 UOI983054 UYE983054 VIA983054 VRW983054 WBS983054 WLO983054 WVK983054">
      <formula1>AND(TRUNC(C14,1)=C14,(C14&gt;=0.1),(C14&lt;=10000))</formula1>
    </dataValidation>
    <dataValidation type="whole" allowBlank="1" showInputMessage="1" showErrorMessage="1" error="输入范围是[0,5000]，单位为us" sqref="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formula1>0</formula1>
      <formula2>5000</formula2>
    </dataValidation>
    <dataValidation type="whole" allowBlank="1" showInputMessage="1" showErrorMessage="1" error="设置范围为0~预留带宽最大值" sqref="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formula1>0</formula1>
      <formula2>C16</formula2>
    </dataValidation>
    <dataValidation type="custom" allowBlank="1" showInputMessage="1" showErrorMessage="1" error="The input range :[512,8192], and the step size is 4" sqref="B19">
      <formula1>AND((B19&lt;=8192),(B19&gt;=512),(MOD(B19,4)=0))</formula1>
    </dataValidation>
    <dataValidation type="custom" allowBlank="1" showInputMessage="1" showErrorMessage="1" error="输入范围是512~8192，步长为4" sqref="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C65555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C131091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C196627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C262163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C327699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C393235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C458771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C524307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C589843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C655379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C720915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C786451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851987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C917523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C983059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formula1>AND((C19&lt;=8192),(C19&gt;=512),(MOD(C19,4)=0))</formula1>
    </dataValidation>
    <dataValidation type="whole" allowBlank="1" showInputMessage="1" showErrorMessage="1" error="The input range: [0,5000]" sqref="B20">
      <formula1>0</formula1>
      <formula2>5000</formula2>
    </dataValidation>
    <dataValidation type="list" allowBlank="1" showInputMessage="1" showErrorMessage="1" sqref="M36 JI36 TE36 ADA36 AMW36 AWS36 BGO36 BQK36 CAG36 CKC36 CTY36 DDU36 DNQ36 DXM36 EHI36 ERE36 FBA36 FKW36 FUS36 GEO36 GOK36 GYG36 HIC36 HRY36 IBU36 ILQ36 IVM36 JFI36 JPE36 JZA36 KIW36 KSS36 LCO36 LMK36 LWG36 MGC36 MPY36 MZU36 NJQ36 NTM36 ODI36 ONE36 OXA36 PGW36 PQS36 QAO36 QKK36 QUG36 REC36 RNY36 RXU36 SHQ36 SRM36 TBI36 TLE36 TVA36 UEW36 UOS36 UYO36 VIK36 VSG36 WCC36 WLY36 WVU36 M65572 JI65572 TE65572 ADA65572 AMW65572 AWS65572 BGO65572 BQK65572 CAG65572 CKC65572 CTY65572 DDU65572 DNQ65572 DXM65572 EHI65572 ERE65572 FBA65572 FKW65572 FUS65572 GEO65572 GOK65572 GYG65572 HIC65572 HRY65572 IBU65572 ILQ65572 IVM65572 JFI65572 JPE65572 JZA65572 KIW65572 KSS65572 LCO65572 LMK65572 LWG65572 MGC65572 MPY65572 MZU65572 NJQ65572 NTM65572 ODI65572 ONE65572 OXA65572 PGW65572 PQS65572 QAO65572 QKK65572 QUG65572 REC65572 RNY65572 RXU65572 SHQ65572 SRM65572 TBI65572 TLE65572 TVA65572 UEW65572 UOS65572 UYO65572 VIK65572 VSG65572 WCC65572 WLY65572 WVU65572 M131108 JI131108 TE131108 ADA131108 AMW131108 AWS131108 BGO131108 BQK131108 CAG131108 CKC131108 CTY131108 DDU131108 DNQ131108 DXM131108 EHI131108 ERE131108 FBA131108 FKW131108 FUS131108 GEO131108 GOK131108 GYG131108 HIC131108 HRY131108 IBU131108 ILQ131108 IVM131108 JFI131108 JPE131108 JZA131108 KIW131108 KSS131108 LCO131108 LMK131108 LWG131108 MGC131108 MPY131108 MZU131108 NJQ131108 NTM131108 ODI131108 ONE131108 OXA131108 PGW131108 PQS131108 QAO131108 QKK131108 QUG131108 REC131108 RNY131108 RXU131108 SHQ131108 SRM131108 TBI131108 TLE131108 TVA131108 UEW131108 UOS131108 UYO131108 VIK131108 VSG131108 WCC131108 WLY131108 WVU131108 M196644 JI196644 TE196644 ADA196644 AMW196644 AWS196644 BGO196644 BQK196644 CAG196644 CKC196644 CTY196644 DDU196644 DNQ196644 DXM196644 EHI196644 ERE196644 FBA196644 FKW196644 FUS196644 GEO196644 GOK196644 GYG196644 HIC196644 HRY196644 IBU196644 ILQ196644 IVM196644 JFI196644 JPE196644 JZA196644 KIW196644 KSS196644 LCO196644 LMK196644 LWG196644 MGC196644 MPY196644 MZU196644 NJQ196644 NTM196644 ODI196644 ONE196644 OXA196644 PGW196644 PQS196644 QAO196644 QKK196644 QUG196644 REC196644 RNY196644 RXU196644 SHQ196644 SRM196644 TBI196644 TLE196644 TVA196644 UEW196644 UOS196644 UYO196644 VIK196644 VSG196644 WCC196644 WLY196644 WVU196644 M262180 JI262180 TE262180 ADA262180 AMW262180 AWS262180 BGO262180 BQK262180 CAG262180 CKC262180 CTY262180 DDU262180 DNQ262180 DXM262180 EHI262180 ERE262180 FBA262180 FKW262180 FUS262180 GEO262180 GOK262180 GYG262180 HIC262180 HRY262180 IBU262180 ILQ262180 IVM262180 JFI262180 JPE262180 JZA262180 KIW262180 KSS262180 LCO262180 LMK262180 LWG262180 MGC262180 MPY262180 MZU262180 NJQ262180 NTM262180 ODI262180 ONE262180 OXA262180 PGW262180 PQS262180 QAO262180 QKK262180 QUG262180 REC262180 RNY262180 RXU262180 SHQ262180 SRM262180 TBI262180 TLE262180 TVA262180 UEW262180 UOS262180 UYO262180 VIK262180 VSG262180 WCC262180 WLY262180 WVU262180 M327716 JI327716 TE327716 ADA327716 AMW327716 AWS327716 BGO327716 BQK327716 CAG327716 CKC327716 CTY327716 DDU327716 DNQ327716 DXM327716 EHI327716 ERE327716 FBA327716 FKW327716 FUS327716 GEO327716 GOK327716 GYG327716 HIC327716 HRY327716 IBU327716 ILQ327716 IVM327716 JFI327716 JPE327716 JZA327716 KIW327716 KSS327716 LCO327716 LMK327716 LWG327716 MGC327716 MPY327716 MZU327716 NJQ327716 NTM327716 ODI327716 ONE327716 OXA327716 PGW327716 PQS327716 QAO327716 QKK327716 QUG327716 REC327716 RNY327716 RXU327716 SHQ327716 SRM327716 TBI327716 TLE327716 TVA327716 UEW327716 UOS327716 UYO327716 VIK327716 VSG327716 WCC327716 WLY327716 WVU327716 M393252 JI393252 TE393252 ADA393252 AMW393252 AWS393252 BGO393252 BQK393252 CAG393252 CKC393252 CTY393252 DDU393252 DNQ393252 DXM393252 EHI393252 ERE393252 FBA393252 FKW393252 FUS393252 GEO393252 GOK393252 GYG393252 HIC393252 HRY393252 IBU393252 ILQ393252 IVM393252 JFI393252 JPE393252 JZA393252 KIW393252 KSS393252 LCO393252 LMK393252 LWG393252 MGC393252 MPY393252 MZU393252 NJQ393252 NTM393252 ODI393252 ONE393252 OXA393252 PGW393252 PQS393252 QAO393252 QKK393252 QUG393252 REC393252 RNY393252 RXU393252 SHQ393252 SRM393252 TBI393252 TLE393252 TVA393252 UEW393252 UOS393252 UYO393252 VIK393252 VSG393252 WCC393252 WLY393252 WVU393252 M458788 JI458788 TE458788 ADA458788 AMW458788 AWS458788 BGO458788 BQK458788 CAG458788 CKC458788 CTY458788 DDU458788 DNQ458788 DXM458788 EHI458788 ERE458788 FBA458788 FKW458788 FUS458788 GEO458788 GOK458788 GYG458788 HIC458788 HRY458788 IBU458788 ILQ458788 IVM458788 JFI458788 JPE458788 JZA458788 KIW458788 KSS458788 LCO458788 LMK458788 LWG458788 MGC458788 MPY458788 MZU458788 NJQ458788 NTM458788 ODI458788 ONE458788 OXA458788 PGW458788 PQS458788 QAO458788 QKK458788 QUG458788 REC458788 RNY458788 RXU458788 SHQ458788 SRM458788 TBI458788 TLE458788 TVA458788 UEW458788 UOS458788 UYO458788 VIK458788 VSG458788 WCC458788 WLY458788 WVU458788 M524324 JI524324 TE524324 ADA524324 AMW524324 AWS524324 BGO524324 BQK524324 CAG524324 CKC524324 CTY524324 DDU524324 DNQ524324 DXM524324 EHI524324 ERE524324 FBA524324 FKW524324 FUS524324 GEO524324 GOK524324 GYG524324 HIC524324 HRY524324 IBU524324 ILQ524324 IVM524324 JFI524324 JPE524324 JZA524324 KIW524324 KSS524324 LCO524324 LMK524324 LWG524324 MGC524324 MPY524324 MZU524324 NJQ524324 NTM524324 ODI524324 ONE524324 OXA524324 PGW524324 PQS524324 QAO524324 QKK524324 QUG524324 REC524324 RNY524324 RXU524324 SHQ524324 SRM524324 TBI524324 TLE524324 TVA524324 UEW524324 UOS524324 UYO524324 VIK524324 VSG524324 WCC524324 WLY524324 WVU524324 M589860 JI589860 TE589860 ADA589860 AMW589860 AWS589860 BGO589860 BQK589860 CAG589860 CKC589860 CTY589860 DDU589860 DNQ589860 DXM589860 EHI589860 ERE589860 FBA589860 FKW589860 FUS589860 GEO589860 GOK589860 GYG589860 HIC589860 HRY589860 IBU589860 ILQ589860 IVM589860 JFI589860 JPE589860 JZA589860 KIW589860 KSS589860 LCO589860 LMK589860 LWG589860 MGC589860 MPY589860 MZU589860 NJQ589860 NTM589860 ODI589860 ONE589860 OXA589860 PGW589860 PQS589860 QAO589860 QKK589860 QUG589860 REC589860 RNY589860 RXU589860 SHQ589860 SRM589860 TBI589860 TLE589860 TVA589860 UEW589860 UOS589860 UYO589860 VIK589860 VSG589860 WCC589860 WLY589860 WVU589860 M655396 JI655396 TE655396 ADA655396 AMW655396 AWS655396 BGO655396 BQK655396 CAG655396 CKC655396 CTY655396 DDU655396 DNQ655396 DXM655396 EHI655396 ERE655396 FBA655396 FKW655396 FUS655396 GEO655396 GOK655396 GYG655396 HIC655396 HRY655396 IBU655396 ILQ655396 IVM655396 JFI655396 JPE655396 JZA655396 KIW655396 KSS655396 LCO655396 LMK655396 LWG655396 MGC655396 MPY655396 MZU655396 NJQ655396 NTM655396 ODI655396 ONE655396 OXA655396 PGW655396 PQS655396 QAO655396 QKK655396 QUG655396 REC655396 RNY655396 RXU655396 SHQ655396 SRM655396 TBI655396 TLE655396 TVA655396 UEW655396 UOS655396 UYO655396 VIK655396 VSG655396 WCC655396 WLY655396 WVU655396 M720932 JI720932 TE720932 ADA720932 AMW720932 AWS720932 BGO720932 BQK720932 CAG720932 CKC720932 CTY720932 DDU720932 DNQ720932 DXM720932 EHI720932 ERE720932 FBA720932 FKW720932 FUS720932 GEO720932 GOK720932 GYG720932 HIC720932 HRY720932 IBU720932 ILQ720932 IVM720932 JFI720932 JPE720932 JZA720932 KIW720932 KSS720932 LCO720932 LMK720932 LWG720932 MGC720932 MPY720932 MZU720932 NJQ720932 NTM720932 ODI720932 ONE720932 OXA720932 PGW720932 PQS720932 QAO720932 QKK720932 QUG720932 REC720932 RNY720932 RXU720932 SHQ720932 SRM720932 TBI720932 TLE720932 TVA720932 UEW720932 UOS720932 UYO720932 VIK720932 VSG720932 WCC720932 WLY720932 WVU720932 M786468 JI786468 TE786468 ADA786468 AMW786468 AWS786468 BGO786468 BQK786468 CAG786468 CKC786468 CTY786468 DDU786468 DNQ786468 DXM786468 EHI786468 ERE786468 FBA786468 FKW786468 FUS786468 GEO786468 GOK786468 GYG786468 HIC786468 HRY786468 IBU786468 ILQ786468 IVM786468 JFI786468 JPE786468 JZA786468 KIW786468 KSS786468 LCO786468 LMK786468 LWG786468 MGC786468 MPY786468 MZU786468 NJQ786468 NTM786468 ODI786468 ONE786468 OXA786468 PGW786468 PQS786468 QAO786468 QKK786468 QUG786468 REC786468 RNY786468 RXU786468 SHQ786468 SRM786468 TBI786468 TLE786468 TVA786468 UEW786468 UOS786468 UYO786468 VIK786468 VSG786468 WCC786468 WLY786468 WVU786468 M852004 JI852004 TE852004 ADA852004 AMW852004 AWS852004 BGO852004 BQK852004 CAG852004 CKC852004 CTY852004 DDU852004 DNQ852004 DXM852004 EHI852004 ERE852004 FBA852004 FKW852004 FUS852004 GEO852004 GOK852004 GYG852004 HIC852004 HRY852004 IBU852004 ILQ852004 IVM852004 JFI852004 JPE852004 JZA852004 KIW852004 KSS852004 LCO852004 LMK852004 LWG852004 MGC852004 MPY852004 MZU852004 NJQ852004 NTM852004 ODI852004 ONE852004 OXA852004 PGW852004 PQS852004 QAO852004 QKK852004 QUG852004 REC852004 RNY852004 RXU852004 SHQ852004 SRM852004 TBI852004 TLE852004 TVA852004 UEW852004 UOS852004 UYO852004 VIK852004 VSG852004 WCC852004 WLY852004 WVU852004 M917540 JI917540 TE917540 ADA917540 AMW917540 AWS917540 BGO917540 BQK917540 CAG917540 CKC917540 CTY917540 DDU917540 DNQ917540 DXM917540 EHI917540 ERE917540 FBA917540 FKW917540 FUS917540 GEO917540 GOK917540 GYG917540 HIC917540 HRY917540 IBU917540 ILQ917540 IVM917540 JFI917540 JPE917540 JZA917540 KIW917540 KSS917540 LCO917540 LMK917540 LWG917540 MGC917540 MPY917540 MZU917540 NJQ917540 NTM917540 ODI917540 ONE917540 OXA917540 PGW917540 PQS917540 QAO917540 QKK917540 QUG917540 REC917540 RNY917540 RXU917540 SHQ917540 SRM917540 TBI917540 TLE917540 TVA917540 UEW917540 UOS917540 UYO917540 VIK917540 VSG917540 WCC917540 WLY917540 WVU917540 M983076 JI983076 TE983076 ADA983076 AMW983076 AWS983076 BGO983076 BQK983076 CAG983076 CKC983076 CTY983076 DDU983076 DNQ983076 DXM983076 EHI983076 ERE983076 FBA983076 FKW983076 FUS983076 GEO983076 GOK983076 GYG983076 HIC983076 HRY983076 IBU983076 ILQ983076 IVM983076 JFI983076 JPE983076 JZA983076 KIW983076 KSS983076 LCO983076 LMK983076 LWG983076 MGC983076 MPY983076 MZU983076 NJQ983076 NTM983076 ODI983076 ONE983076 OXA983076 PGW983076 PQS983076 QAO983076 QKK983076 QUG983076 REC983076 RNY983076 RXU983076 SHQ983076 SRM983076 TBI983076 TLE983076 TVA983076 UEW983076 UOS983076 UYO983076 VIK983076 VSG983076 WCC983076 WLY983076 WVU983076">
      <formula1>$AC$38:$AC$52</formula1>
    </dataValidation>
    <dataValidation type="list" allowBlank="1" showInputMessage="1" showErrorMessage="1" sqref="N41 JJ41 TF41 ADB41 AMX41 AWT41 BGP41 BQL41 CAH41 CKD41 CTZ41 DDV41 DNR41 DXN41 EHJ41 ERF41 FBB41 FKX41 FUT41 GEP41 GOL41 GYH41 HID41 HRZ41 IBV41 ILR41 IVN41 JFJ41 JPF41 JZB41 KIX41 KST41 LCP41 LML41 LWH41 MGD41 MPZ41 MZV41 NJR41 NTN41 ODJ41 ONF41 OXB41 PGX41 PQT41 QAP41 QKL41 QUH41 RED41 RNZ41 RXV41 SHR41 SRN41 TBJ41 TLF41 TVB41 UEX41 UOT41 UYP41 VIL41 VSH41 WCD41 WLZ41 WVV41 N65577 JJ65577 TF65577 ADB65577 AMX65577 AWT65577 BGP65577 BQL65577 CAH65577 CKD65577 CTZ65577 DDV65577 DNR65577 DXN65577 EHJ65577 ERF65577 FBB65577 FKX65577 FUT65577 GEP65577 GOL65577 GYH65577 HID65577 HRZ65577 IBV65577 ILR65577 IVN65577 JFJ65577 JPF65577 JZB65577 KIX65577 KST65577 LCP65577 LML65577 LWH65577 MGD65577 MPZ65577 MZV65577 NJR65577 NTN65577 ODJ65577 ONF65577 OXB65577 PGX65577 PQT65577 QAP65577 QKL65577 QUH65577 RED65577 RNZ65577 RXV65577 SHR65577 SRN65577 TBJ65577 TLF65577 TVB65577 UEX65577 UOT65577 UYP65577 VIL65577 VSH65577 WCD65577 WLZ65577 WVV65577 N131113 JJ131113 TF131113 ADB131113 AMX131113 AWT131113 BGP131113 BQL131113 CAH131113 CKD131113 CTZ131113 DDV131113 DNR131113 DXN131113 EHJ131113 ERF131113 FBB131113 FKX131113 FUT131113 GEP131113 GOL131113 GYH131113 HID131113 HRZ131113 IBV131113 ILR131113 IVN131113 JFJ131113 JPF131113 JZB131113 KIX131113 KST131113 LCP131113 LML131113 LWH131113 MGD131113 MPZ131113 MZV131113 NJR131113 NTN131113 ODJ131113 ONF131113 OXB131113 PGX131113 PQT131113 QAP131113 QKL131113 QUH131113 RED131113 RNZ131113 RXV131113 SHR131113 SRN131113 TBJ131113 TLF131113 TVB131113 UEX131113 UOT131113 UYP131113 VIL131113 VSH131113 WCD131113 WLZ131113 WVV131113 N196649 JJ196649 TF196649 ADB196649 AMX196649 AWT196649 BGP196649 BQL196649 CAH196649 CKD196649 CTZ196649 DDV196649 DNR196649 DXN196649 EHJ196649 ERF196649 FBB196649 FKX196649 FUT196649 GEP196649 GOL196649 GYH196649 HID196649 HRZ196649 IBV196649 ILR196649 IVN196649 JFJ196649 JPF196649 JZB196649 KIX196649 KST196649 LCP196649 LML196649 LWH196649 MGD196649 MPZ196649 MZV196649 NJR196649 NTN196649 ODJ196649 ONF196649 OXB196649 PGX196649 PQT196649 QAP196649 QKL196649 QUH196649 RED196649 RNZ196649 RXV196649 SHR196649 SRN196649 TBJ196649 TLF196649 TVB196649 UEX196649 UOT196649 UYP196649 VIL196649 VSH196649 WCD196649 WLZ196649 WVV196649 N262185 JJ262185 TF262185 ADB262185 AMX262185 AWT262185 BGP262185 BQL262185 CAH262185 CKD262185 CTZ262185 DDV262185 DNR262185 DXN262185 EHJ262185 ERF262185 FBB262185 FKX262185 FUT262185 GEP262185 GOL262185 GYH262185 HID262185 HRZ262185 IBV262185 ILR262185 IVN262185 JFJ262185 JPF262185 JZB262185 KIX262185 KST262185 LCP262185 LML262185 LWH262185 MGD262185 MPZ262185 MZV262185 NJR262185 NTN262185 ODJ262185 ONF262185 OXB262185 PGX262185 PQT262185 QAP262185 QKL262185 QUH262185 RED262185 RNZ262185 RXV262185 SHR262185 SRN262185 TBJ262185 TLF262185 TVB262185 UEX262185 UOT262185 UYP262185 VIL262185 VSH262185 WCD262185 WLZ262185 WVV262185 N327721 JJ327721 TF327721 ADB327721 AMX327721 AWT327721 BGP327721 BQL327721 CAH327721 CKD327721 CTZ327721 DDV327721 DNR327721 DXN327721 EHJ327721 ERF327721 FBB327721 FKX327721 FUT327721 GEP327721 GOL327721 GYH327721 HID327721 HRZ327721 IBV327721 ILR327721 IVN327721 JFJ327721 JPF327721 JZB327721 KIX327721 KST327721 LCP327721 LML327721 LWH327721 MGD327721 MPZ327721 MZV327721 NJR327721 NTN327721 ODJ327721 ONF327721 OXB327721 PGX327721 PQT327721 QAP327721 QKL327721 QUH327721 RED327721 RNZ327721 RXV327721 SHR327721 SRN327721 TBJ327721 TLF327721 TVB327721 UEX327721 UOT327721 UYP327721 VIL327721 VSH327721 WCD327721 WLZ327721 WVV327721 N393257 JJ393257 TF393257 ADB393257 AMX393257 AWT393257 BGP393257 BQL393257 CAH393257 CKD393257 CTZ393257 DDV393257 DNR393257 DXN393257 EHJ393257 ERF393257 FBB393257 FKX393257 FUT393257 GEP393257 GOL393257 GYH393257 HID393257 HRZ393257 IBV393257 ILR393257 IVN393257 JFJ393257 JPF393257 JZB393257 KIX393257 KST393257 LCP393257 LML393257 LWH393257 MGD393257 MPZ393257 MZV393257 NJR393257 NTN393257 ODJ393257 ONF393257 OXB393257 PGX393257 PQT393257 QAP393257 QKL393257 QUH393257 RED393257 RNZ393257 RXV393257 SHR393257 SRN393257 TBJ393257 TLF393257 TVB393257 UEX393257 UOT393257 UYP393257 VIL393257 VSH393257 WCD393257 WLZ393257 WVV393257 N458793 JJ458793 TF458793 ADB458793 AMX458793 AWT458793 BGP458793 BQL458793 CAH458793 CKD458793 CTZ458793 DDV458793 DNR458793 DXN458793 EHJ458793 ERF458793 FBB458793 FKX458793 FUT458793 GEP458793 GOL458793 GYH458793 HID458793 HRZ458793 IBV458793 ILR458793 IVN458793 JFJ458793 JPF458793 JZB458793 KIX458793 KST458793 LCP458793 LML458793 LWH458793 MGD458793 MPZ458793 MZV458793 NJR458793 NTN458793 ODJ458793 ONF458793 OXB458793 PGX458793 PQT458793 QAP458793 QKL458793 QUH458793 RED458793 RNZ458793 RXV458793 SHR458793 SRN458793 TBJ458793 TLF458793 TVB458793 UEX458793 UOT458793 UYP458793 VIL458793 VSH458793 WCD458793 WLZ458793 WVV458793 N524329 JJ524329 TF524329 ADB524329 AMX524329 AWT524329 BGP524329 BQL524329 CAH524329 CKD524329 CTZ524329 DDV524329 DNR524329 DXN524329 EHJ524329 ERF524329 FBB524329 FKX524329 FUT524329 GEP524329 GOL524329 GYH524329 HID524329 HRZ524329 IBV524329 ILR524329 IVN524329 JFJ524329 JPF524329 JZB524329 KIX524329 KST524329 LCP524329 LML524329 LWH524329 MGD524329 MPZ524329 MZV524329 NJR524329 NTN524329 ODJ524329 ONF524329 OXB524329 PGX524329 PQT524329 QAP524329 QKL524329 QUH524329 RED524329 RNZ524329 RXV524329 SHR524329 SRN524329 TBJ524329 TLF524329 TVB524329 UEX524329 UOT524329 UYP524329 VIL524329 VSH524329 WCD524329 WLZ524329 WVV524329 N589865 JJ589865 TF589865 ADB589865 AMX589865 AWT589865 BGP589865 BQL589865 CAH589865 CKD589865 CTZ589865 DDV589865 DNR589865 DXN589865 EHJ589865 ERF589865 FBB589865 FKX589865 FUT589865 GEP589865 GOL589865 GYH589865 HID589865 HRZ589865 IBV589865 ILR589865 IVN589865 JFJ589865 JPF589865 JZB589865 KIX589865 KST589865 LCP589865 LML589865 LWH589865 MGD589865 MPZ589865 MZV589865 NJR589865 NTN589865 ODJ589865 ONF589865 OXB589865 PGX589865 PQT589865 QAP589865 QKL589865 QUH589865 RED589865 RNZ589865 RXV589865 SHR589865 SRN589865 TBJ589865 TLF589865 TVB589865 UEX589865 UOT589865 UYP589865 VIL589865 VSH589865 WCD589865 WLZ589865 WVV589865 N655401 JJ655401 TF655401 ADB655401 AMX655401 AWT655401 BGP655401 BQL655401 CAH655401 CKD655401 CTZ655401 DDV655401 DNR655401 DXN655401 EHJ655401 ERF655401 FBB655401 FKX655401 FUT655401 GEP655401 GOL655401 GYH655401 HID655401 HRZ655401 IBV655401 ILR655401 IVN655401 JFJ655401 JPF655401 JZB655401 KIX655401 KST655401 LCP655401 LML655401 LWH655401 MGD655401 MPZ655401 MZV655401 NJR655401 NTN655401 ODJ655401 ONF655401 OXB655401 PGX655401 PQT655401 QAP655401 QKL655401 QUH655401 RED655401 RNZ655401 RXV655401 SHR655401 SRN655401 TBJ655401 TLF655401 TVB655401 UEX655401 UOT655401 UYP655401 VIL655401 VSH655401 WCD655401 WLZ655401 WVV655401 N720937 JJ720937 TF720937 ADB720937 AMX720937 AWT720937 BGP720937 BQL720937 CAH720937 CKD720937 CTZ720937 DDV720937 DNR720937 DXN720937 EHJ720937 ERF720937 FBB720937 FKX720937 FUT720937 GEP720937 GOL720937 GYH720937 HID720937 HRZ720937 IBV720937 ILR720937 IVN720937 JFJ720937 JPF720937 JZB720937 KIX720937 KST720937 LCP720937 LML720937 LWH720937 MGD720937 MPZ720937 MZV720937 NJR720937 NTN720937 ODJ720937 ONF720937 OXB720937 PGX720937 PQT720937 QAP720937 QKL720937 QUH720937 RED720937 RNZ720937 RXV720937 SHR720937 SRN720937 TBJ720937 TLF720937 TVB720937 UEX720937 UOT720937 UYP720937 VIL720937 VSH720937 WCD720937 WLZ720937 WVV720937 N786473 JJ786473 TF786473 ADB786473 AMX786473 AWT786473 BGP786473 BQL786473 CAH786473 CKD786473 CTZ786473 DDV786473 DNR786473 DXN786473 EHJ786473 ERF786473 FBB786473 FKX786473 FUT786473 GEP786473 GOL786473 GYH786473 HID786473 HRZ786473 IBV786473 ILR786473 IVN786473 JFJ786473 JPF786473 JZB786473 KIX786473 KST786473 LCP786473 LML786473 LWH786473 MGD786473 MPZ786473 MZV786473 NJR786473 NTN786473 ODJ786473 ONF786473 OXB786473 PGX786473 PQT786473 QAP786473 QKL786473 QUH786473 RED786473 RNZ786473 RXV786473 SHR786473 SRN786473 TBJ786473 TLF786473 TVB786473 UEX786473 UOT786473 UYP786473 VIL786473 VSH786473 WCD786473 WLZ786473 WVV786473 N852009 JJ852009 TF852009 ADB852009 AMX852009 AWT852009 BGP852009 BQL852009 CAH852009 CKD852009 CTZ852009 DDV852009 DNR852009 DXN852009 EHJ852009 ERF852009 FBB852009 FKX852009 FUT852009 GEP852009 GOL852009 GYH852009 HID852009 HRZ852009 IBV852009 ILR852009 IVN852009 JFJ852009 JPF852009 JZB852009 KIX852009 KST852009 LCP852009 LML852009 LWH852009 MGD852009 MPZ852009 MZV852009 NJR852009 NTN852009 ODJ852009 ONF852009 OXB852009 PGX852009 PQT852009 QAP852009 QKL852009 QUH852009 RED852009 RNZ852009 RXV852009 SHR852009 SRN852009 TBJ852009 TLF852009 TVB852009 UEX852009 UOT852009 UYP852009 VIL852009 VSH852009 WCD852009 WLZ852009 WVV852009 N917545 JJ917545 TF917545 ADB917545 AMX917545 AWT917545 BGP917545 BQL917545 CAH917545 CKD917545 CTZ917545 DDV917545 DNR917545 DXN917545 EHJ917545 ERF917545 FBB917545 FKX917545 FUT917545 GEP917545 GOL917545 GYH917545 HID917545 HRZ917545 IBV917545 ILR917545 IVN917545 JFJ917545 JPF917545 JZB917545 KIX917545 KST917545 LCP917545 LML917545 LWH917545 MGD917545 MPZ917545 MZV917545 NJR917545 NTN917545 ODJ917545 ONF917545 OXB917545 PGX917545 PQT917545 QAP917545 QKL917545 QUH917545 RED917545 RNZ917545 RXV917545 SHR917545 SRN917545 TBJ917545 TLF917545 TVB917545 UEX917545 UOT917545 UYP917545 VIL917545 VSH917545 WCD917545 WLZ917545 WVV917545 N983081 JJ983081 TF983081 ADB983081 AMX983081 AWT983081 BGP983081 BQL983081 CAH983081 CKD983081 CTZ983081 DDV983081 DNR983081 DXN983081 EHJ983081 ERF983081 FBB983081 FKX983081 FUT983081 GEP983081 GOL983081 GYH983081 HID983081 HRZ983081 IBV983081 ILR983081 IVN983081 JFJ983081 JPF983081 JZB983081 KIX983081 KST983081 LCP983081 LML983081 LWH983081 MGD983081 MPZ983081 MZV983081 NJR983081 NTN983081 ODJ983081 ONF983081 OXB983081 PGX983081 PQT983081 QAP983081 QKL983081 QUH983081 RED983081 RNZ983081 RXV983081 SHR983081 SRN983081 TBJ983081 TLF983081 TVB983081 UEX983081 UOT983081 UYP983081 VIL983081 VSH983081 WCD983081 WLZ983081 WVV983081">
      <formula1>"8,12"</formula1>
    </dataValidation>
    <dataValidation type="whole" allowBlank="1" showInputMessage="1" showErrorMessage="1" errorTitle="超出范围" error="曝光延迟的范围是0-5000us" sqref="N45 JJ45 TF45 ADB45 AMX45 AWT45 BGP45 BQL45 CAH45 CKD45 CTZ45 DDV45 DNR45 DXN45 EHJ45 ERF45 FBB45 FKX45 FUT45 GEP45 GOL45 GYH45 HID45 HRZ45 IBV45 ILR45 IVN45 JFJ45 JPF45 JZB45 KIX45 KST45 LCP45 LML45 LWH45 MGD45 MPZ45 MZV45 NJR45 NTN45 ODJ45 ONF45 OXB45 PGX45 PQT45 QAP45 QKL45 QUH45 RED45 RNZ45 RXV45 SHR45 SRN45 TBJ45 TLF45 TVB45 UEX45 UOT45 UYP45 VIL45 VSH45 WCD45 WLZ45 WVV45 N65581 JJ65581 TF65581 ADB65581 AMX65581 AWT65581 BGP65581 BQL65581 CAH65581 CKD65581 CTZ65581 DDV65581 DNR65581 DXN65581 EHJ65581 ERF65581 FBB65581 FKX65581 FUT65581 GEP65581 GOL65581 GYH65581 HID65581 HRZ65581 IBV65581 ILR65581 IVN65581 JFJ65581 JPF65581 JZB65581 KIX65581 KST65581 LCP65581 LML65581 LWH65581 MGD65581 MPZ65581 MZV65581 NJR65581 NTN65581 ODJ65581 ONF65581 OXB65581 PGX65581 PQT65581 QAP65581 QKL65581 QUH65581 RED65581 RNZ65581 RXV65581 SHR65581 SRN65581 TBJ65581 TLF65581 TVB65581 UEX65581 UOT65581 UYP65581 VIL65581 VSH65581 WCD65581 WLZ65581 WVV65581 N131117 JJ131117 TF131117 ADB131117 AMX131117 AWT131117 BGP131117 BQL131117 CAH131117 CKD131117 CTZ131117 DDV131117 DNR131117 DXN131117 EHJ131117 ERF131117 FBB131117 FKX131117 FUT131117 GEP131117 GOL131117 GYH131117 HID131117 HRZ131117 IBV131117 ILR131117 IVN131117 JFJ131117 JPF131117 JZB131117 KIX131117 KST131117 LCP131117 LML131117 LWH131117 MGD131117 MPZ131117 MZV131117 NJR131117 NTN131117 ODJ131117 ONF131117 OXB131117 PGX131117 PQT131117 QAP131117 QKL131117 QUH131117 RED131117 RNZ131117 RXV131117 SHR131117 SRN131117 TBJ131117 TLF131117 TVB131117 UEX131117 UOT131117 UYP131117 VIL131117 VSH131117 WCD131117 WLZ131117 WVV131117 N196653 JJ196653 TF196653 ADB196653 AMX196653 AWT196653 BGP196653 BQL196653 CAH196653 CKD196653 CTZ196653 DDV196653 DNR196653 DXN196653 EHJ196653 ERF196653 FBB196653 FKX196653 FUT196653 GEP196653 GOL196653 GYH196653 HID196653 HRZ196653 IBV196653 ILR196653 IVN196653 JFJ196653 JPF196653 JZB196653 KIX196653 KST196653 LCP196653 LML196653 LWH196653 MGD196653 MPZ196653 MZV196653 NJR196653 NTN196653 ODJ196653 ONF196653 OXB196653 PGX196653 PQT196653 QAP196653 QKL196653 QUH196653 RED196653 RNZ196653 RXV196653 SHR196653 SRN196653 TBJ196653 TLF196653 TVB196653 UEX196653 UOT196653 UYP196653 VIL196653 VSH196653 WCD196653 WLZ196653 WVV196653 N262189 JJ262189 TF262189 ADB262189 AMX262189 AWT262189 BGP262189 BQL262189 CAH262189 CKD262189 CTZ262189 DDV262189 DNR262189 DXN262189 EHJ262189 ERF262189 FBB262189 FKX262189 FUT262189 GEP262189 GOL262189 GYH262189 HID262189 HRZ262189 IBV262189 ILR262189 IVN262189 JFJ262189 JPF262189 JZB262189 KIX262189 KST262189 LCP262189 LML262189 LWH262189 MGD262189 MPZ262189 MZV262189 NJR262189 NTN262189 ODJ262189 ONF262189 OXB262189 PGX262189 PQT262189 QAP262189 QKL262189 QUH262189 RED262189 RNZ262189 RXV262189 SHR262189 SRN262189 TBJ262189 TLF262189 TVB262189 UEX262189 UOT262189 UYP262189 VIL262189 VSH262189 WCD262189 WLZ262189 WVV262189 N327725 JJ327725 TF327725 ADB327725 AMX327725 AWT327725 BGP327725 BQL327725 CAH327725 CKD327725 CTZ327725 DDV327725 DNR327725 DXN327725 EHJ327725 ERF327725 FBB327725 FKX327725 FUT327725 GEP327725 GOL327725 GYH327725 HID327725 HRZ327725 IBV327725 ILR327725 IVN327725 JFJ327725 JPF327725 JZB327725 KIX327725 KST327725 LCP327725 LML327725 LWH327725 MGD327725 MPZ327725 MZV327725 NJR327725 NTN327725 ODJ327725 ONF327725 OXB327725 PGX327725 PQT327725 QAP327725 QKL327725 QUH327725 RED327725 RNZ327725 RXV327725 SHR327725 SRN327725 TBJ327725 TLF327725 TVB327725 UEX327725 UOT327725 UYP327725 VIL327725 VSH327725 WCD327725 WLZ327725 WVV327725 N393261 JJ393261 TF393261 ADB393261 AMX393261 AWT393261 BGP393261 BQL393261 CAH393261 CKD393261 CTZ393261 DDV393261 DNR393261 DXN393261 EHJ393261 ERF393261 FBB393261 FKX393261 FUT393261 GEP393261 GOL393261 GYH393261 HID393261 HRZ393261 IBV393261 ILR393261 IVN393261 JFJ393261 JPF393261 JZB393261 KIX393261 KST393261 LCP393261 LML393261 LWH393261 MGD393261 MPZ393261 MZV393261 NJR393261 NTN393261 ODJ393261 ONF393261 OXB393261 PGX393261 PQT393261 QAP393261 QKL393261 QUH393261 RED393261 RNZ393261 RXV393261 SHR393261 SRN393261 TBJ393261 TLF393261 TVB393261 UEX393261 UOT393261 UYP393261 VIL393261 VSH393261 WCD393261 WLZ393261 WVV393261 N458797 JJ458797 TF458797 ADB458797 AMX458797 AWT458797 BGP458797 BQL458797 CAH458797 CKD458797 CTZ458797 DDV458797 DNR458797 DXN458797 EHJ458797 ERF458797 FBB458797 FKX458797 FUT458797 GEP458797 GOL458797 GYH458797 HID458797 HRZ458797 IBV458797 ILR458797 IVN458797 JFJ458797 JPF458797 JZB458797 KIX458797 KST458797 LCP458797 LML458797 LWH458797 MGD458797 MPZ458797 MZV458797 NJR458797 NTN458797 ODJ458797 ONF458797 OXB458797 PGX458797 PQT458797 QAP458797 QKL458797 QUH458797 RED458797 RNZ458797 RXV458797 SHR458797 SRN458797 TBJ458797 TLF458797 TVB458797 UEX458797 UOT458797 UYP458797 VIL458797 VSH458797 WCD458797 WLZ458797 WVV458797 N524333 JJ524333 TF524333 ADB524333 AMX524333 AWT524333 BGP524333 BQL524333 CAH524333 CKD524333 CTZ524333 DDV524333 DNR524333 DXN524333 EHJ524333 ERF524333 FBB524333 FKX524333 FUT524333 GEP524333 GOL524333 GYH524333 HID524333 HRZ524333 IBV524333 ILR524333 IVN524333 JFJ524333 JPF524333 JZB524333 KIX524333 KST524333 LCP524333 LML524333 LWH524333 MGD524333 MPZ524333 MZV524333 NJR524333 NTN524333 ODJ524333 ONF524333 OXB524333 PGX524333 PQT524333 QAP524333 QKL524333 QUH524333 RED524333 RNZ524333 RXV524333 SHR524333 SRN524333 TBJ524333 TLF524333 TVB524333 UEX524333 UOT524333 UYP524333 VIL524333 VSH524333 WCD524333 WLZ524333 WVV524333 N589869 JJ589869 TF589869 ADB589869 AMX589869 AWT589869 BGP589869 BQL589869 CAH589869 CKD589869 CTZ589869 DDV589869 DNR589869 DXN589869 EHJ589869 ERF589869 FBB589869 FKX589869 FUT589869 GEP589869 GOL589869 GYH589869 HID589869 HRZ589869 IBV589869 ILR589869 IVN589869 JFJ589869 JPF589869 JZB589869 KIX589869 KST589869 LCP589869 LML589869 LWH589869 MGD589869 MPZ589869 MZV589869 NJR589869 NTN589869 ODJ589869 ONF589869 OXB589869 PGX589869 PQT589869 QAP589869 QKL589869 QUH589869 RED589869 RNZ589869 RXV589869 SHR589869 SRN589869 TBJ589869 TLF589869 TVB589869 UEX589869 UOT589869 UYP589869 VIL589869 VSH589869 WCD589869 WLZ589869 WVV589869 N655405 JJ655405 TF655405 ADB655405 AMX655405 AWT655405 BGP655405 BQL655405 CAH655405 CKD655405 CTZ655405 DDV655405 DNR655405 DXN655405 EHJ655405 ERF655405 FBB655405 FKX655405 FUT655405 GEP655405 GOL655405 GYH655405 HID655405 HRZ655405 IBV655405 ILR655405 IVN655405 JFJ655405 JPF655405 JZB655405 KIX655405 KST655405 LCP655405 LML655405 LWH655405 MGD655405 MPZ655405 MZV655405 NJR655405 NTN655405 ODJ655405 ONF655405 OXB655405 PGX655405 PQT655405 QAP655405 QKL655405 QUH655405 RED655405 RNZ655405 RXV655405 SHR655405 SRN655405 TBJ655405 TLF655405 TVB655405 UEX655405 UOT655405 UYP655405 VIL655405 VSH655405 WCD655405 WLZ655405 WVV655405 N720941 JJ720941 TF720941 ADB720941 AMX720941 AWT720941 BGP720941 BQL720941 CAH720941 CKD720941 CTZ720941 DDV720941 DNR720941 DXN720941 EHJ720941 ERF720941 FBB720941 FKX720941 FUT720941 GEP720941 GOL720941 GYH720941 HID720941 HRZ720941 IBV720941 ILR720941 IVN720941 JFJ720941 JPF720941 JZB720941 KIX720941 KST720941 LCP720941 LML720941 LWH720941 MGD720941 MPZ720941 MZV720941 NJR720941 NTN720941 ODJ720941 ONF720941 OXB720941 PGX720941 PQT720941 QAP720941 QKL720941 QUH720941 RED720941 RNZ720941 RXV720941 SHR720941 SRN720941 TBJ720941 TLF720941 TVB720941 UEX720941 UOT720941 UYP720941 VIL720941 VSH720941 WCD720941 WLZ720941 WVV720941 N786477 JJ786477 TF786477 ADB786477 AMX786477 AWT786477 BGP786477 BQL786477 CAH786477 CKD786477 CTZ786477 DDV786477 DNR786477 DXN786477 EHJ786477 ERF786477 FBB786477 FKX786477 FUT786477 GEP786477 GOL786477 GYH786477 HID786477 HRZ786477 IBV786477 ILR786477 IVN786477 JFJ786477 JPF786477 JZB786477 KIX786477 KST786477 LCP786477 LML786477 LWH786477 MGD786477 MPZ786477 MZV786477 NJR786477 NTN786477 ODJ786477 ONF786477 OXB786477 PGX786477 PQT786477 QAP786477 QKL786477 QUH786477 RED786477 RNZ786477 RXV786477 SHR786477 SRN786477 TBJ786477 TLF786477 TVB786477 UEX786477 UOT786477 UYP786477 VIL786477 VSH786477 WCD786477 WLZ786477 WVV786477 N852013 JJ852013 TF852013 ADB852013 AMX852013 AWT852013 BGP852013 BQL852013 CAH852013 CKD852013 CTZ852013 DDV852013 DNR852013 DXN852013 EHJ852013 ERF852013 FBB852013 FKX852013 FUT852013 GEP852013 GOL852013 GYH852013 HID852013 HRZ852013 IBV852013 ILR852013 IVN852013 JFJ852013 JPF852013 JZB852013 KIX852013 KST852013 LCP852013 LML852013 LWH852013 MGD852013 MPZ852013 MZV852013 NJR852013 NTN852013 ODJ852013 ONF852013 OXB852013 PGX852013 PQT852013 QAP852013 QKL852013 QUH852013 RED852013 RNZ852013 RXV852013 SHR852013 SRN852013 TBJ852013 TLF852013 TVB852013 UEX852013 UOT852013 UYP852013 VIL852013 VSH852013 WCD852013 WLZ852013 WVV852013 N917549 JJ917549 TF917549 ADB917549 AMX917549 AWT917549 BGP917549 BQL917549 CAH917549 CKD917549 CTZ917549 DDV917549 DNR917549 DXN917549 EHJ917549 ERF917549 FBB917549 FKX917549 FUT917549 GEP917549 GOL917549 GYH917549 HID917549 HRZ917549 IBV917549 ILR917549 IVN917549 JFJ917549 JPF917549 JZB917549 KIX917549 KST917549 LCP917549 LML917549 LWH917549 MGD917549 MPZ917549 MZV917549 NJR917549 NTN917549 ODJ917549 ONF917549 OXB917549 PGX917549 PQT917549 QAP917549 QKL917549 QUH917549 RED917549 RNZ917549 RXV917549 SHR917549 SRN917549 TBJ917549 TLF917549 TVB917549 UEX917549 UOT917549 UYP917549 VIL917549 VSH917549 WCD917549 WLZ917549 WVV917549 N983085 JJ983085 TF983085 ADB983085 AMX983085 AWT983085 BGP983085 BQL983085 CAH983085 CKD983085 CTZ983085 DDV983085 DNR983085 DXN983085 EHJ983085 ERF983085 FBB983085 FKX983085 FUT983085 GEP983085 GOL983085 GYH983085 HID983085 HRZ983085 IBV983085 ILR983085 IVN983085 JFJ983085 JPF983085 JZB983085 KIX983085 KST983085 LCP983085 LML983085 LWH983085 MGD983085 MPZ983085 MZV983085 NJR983085 NTN983085 ODJ983085 ONF983085 OXB983085 PGX983085 PQT983085 QAP983085 QKL983085 QUH983085 RED983085 RNZ983085 RXV983085 SHR983085 SRN983085 TBJ983085 TLF983085 TVB983085 UEX983085 UOT983085 UYP983085 VIL983085 VSH983085 WCD983085 WLZ983085 WVV983085">
      <formula1>0</formula1>
      <formula2>5000</formula2>
    </dataValidation>
    <dataValidation type="whole" allowBlank="1" showInputMessage="1" showErrorMessage="1" errorTitle="输入数值非法" error="最小值4，最大值D12" sqref="N46 JJ46 TF46 ADB46 AMX46 AWT46 BGP46 BQL46 CAH46 CKD46 CTZ46 DDV46 DNR46 DXN46 EHJ46 ERF46 FBB46 FKX46 FUT46 GEP46 GOL46 GYH46 HID46 HRZ46 IBV46 ILR46 IVN46 JFJ46 JPF46 JZB46 KIX46 KST46 LCP46 LML46 LWH46 MGD46 MPZ46 MZV46 NJR46 NTN46 ODJ46 ONF46 OXB46 PGX46 PQT46 QAP46 QKL46 QUH46 RED46 RNZ46 RXV46 SHR46 SRN46 TBJ46 TLF46 TVB46 UEX46 UOT46 UYP46 VIL46 VSH46 WCD46 WLZ46 WVV46 N65582 JJ65582 TF65582 ADB65582 AMX65582 AWT65582 BGP65582 BQL65582 CAH65582 CKD65582 CTZ65582 DDV65582 DNR65582 DXN65582 EHJ65582 ERF65582 FBB65582 FKX65582 FUT65582 GEP65582 GOL65582 GYH65582 HID65582 HRZ65582 IBV65582 ILR65582 IVN65582 JFJ65582 JPF65582 JZB65582 KIX65582 KST65582 LCP65582 LML65582 LWH65582 MGD65582 MPZ65582 MZV65582 NJR65582 NTN65582 ODJ65582 ONF65582 OXB65582 PGX65582 PQT65582 QAP65582 QKL65582 QUH65582 RED65582 RNZ65582 RXV65582 SHR65582 SRN65582 TBJ65582 TLF65582 TVB65582 UEX65582 UOT65582 UYP65582 VIL65582 VSH65582 WCD65582 WLZ65582 WVV65582 N131118 JJ131118 TF131118 ADB131118 AMX131118 AWT131118 BGP131118 BQL131118 CAH131118 CKD131118 CTZ131118 DDV131118 DNR131118 DXN131118 EHJ131118 ERF131118 FBB131118 FKX131118 FUT131118 GEP131118 GOL131118 GYH131118 HID131118 HRZ131118 IBV131118 ILR131118 IVN131118 JFJ131118 JPF131118 JZB131118 KIX131118 KST131118 LCP131118 LML131118 LWH131118 MGD131118 MPZ131118 MZV131118 NJR131118 NTN131118 ODJ131118 ONF131118 OXB131118 PGX131118 PQT131118 QAP131118 QKL131118 QUH131118 RED131118 RNZ131118 RXV131118 SHR131118 SRN131118 TBJ131118 TLF131118 TVB131118 UEX131118 UOT131118 UYP131118 VIL131118 VSH131118 WCD131118 WLZ131118 WVV131118 N196654 JJ196654 TF196654 ADB196654 AMX196654 AWT196654 BGP196654 BQL196654 CAH196654 CKD196654 CTZ196654 DDV196654 DNR196654 DXN196654 EHJ196654 ERF196654 FBB196654 FKX196654 FUT196654 GEP196654 GOL196654 GYH196654 HID196654 HRZ196654 IBV196654 ILR196654 IVN196654 JFJ196654 JPF196654 JZB196654 KIX196654 KST196654 LCP196654 LML196654 LWH196654 MGD196654 MPZ196654 MZV196654 NJR196654 NTN196654 ODJ196654 ONF196654 OXB196654 PGX196654 PQT196654 QAP196654 QKL196654 QUH196654 RED196654 RNZ196654 RXV196654 SHR196654 SRN196654 TBJ196654 TLF196654 TVB196654 UEX196654 UOT196654 UYP196654 VIL196654 VSH196654 WCD196654 WLZ196654 WVV196654 N262190 JJ262190 TF262190 ADB262190 AMX262190 AWT262190 BGP262190 BQL262190 CAH262190 CKD262190 CTZ262190 DDV262190 DNR262190 DXN262190 EHJ262190 ERF262190 FBB262190 FKX262190 FUT262190 GEP262190 GOL262190 GYH262190 HID262190 HRZ262190 IBV262190 ILR262190 IVN262190 JFJ262190 JPF262190 JZB262190 KIX262190 KST262190 LCP262190 LML262190 LWH262190 MGD262190 MPZ262190 MZV262190 NJR262190 NTN262190 ODJ262190 ONF262190 OXB262190 PGX262190 PQT262190 QAP262190 QKL262190 QUH262190 RED262190 RNZ262190 RXV262190 SHR262190 SRN262190 TBJ262190 TLF262190 TVB262190 UEX262190 UOT262190 UYP262190 VIL262190 VSH262190 WCD262190 WLZ262190 WVV262190 N327726 JJ327726 TF327726 ADB327726 AMX327726 AWT327726 BGP327726 BQL327726 CAH327726 CKD327726 CTZ327726 DDV327726 DNR327726 DXN327726 EHJ327726 ERF327726 FBB327726 FKX327726 FUT327726 GEP327726 GOL327726 GYH327726 HID327726 HRZ327726 IBV327726 ILR327726 IVN327726 JFJ327726 JPF327726 JZB327726 KIX327726 KST327726 LCP327726 LML327726 LWH327726 MGD327726 MPZ327726 MZV327726 NJR327726 NTN327726 ODJ327726 ONF327726 OXB327726 PGX327726 PQT327726 QAP327726 QKL327726 QUH327726 RED327726 RNZ327726 RXV327726 SHR327726 SRN327726 TBJ327726 TLF327726 TVB327726 UEX327726 UOT327726 UYP327726 VIL327726 VSH327726 WCD327726 WLZ327726 WVV327726 N393262 JJ393262 TF393262 ADB393262 AMX393262 AWT393262 BGP393262 BQL393262 CAH393262 CKD393262 CTZ393262 DDV393262 DNR393262 DXN393262 EHJ393262 ERF393262 FBB393262 FKX393262 FUT393262 GEP393262 GOL393262 GYH393262 HID393262 HRZ393262 IBV393262 ILR393262 IVN393262 JFJ393262 JPF393262 JZB393262 KIX393262 KST393262 LCP393262 LML393262 LWH393262 MGD393262 MPZ393262 MZV393262 NJR393262 NTN393262 ODJ393262 ONF393262 OXB393262 PGX393262 PQT393262 QAP393262 QKL393262 QUH393262 RED393262 RNZ393262 RXV393262 SHR393262 SRN393262 TBJ393262 TLF393262 TVB393262 UEX393262 UOT393262 UYP393262 VIL393262 VSH393262 WCD393262 WLZ393262 WVV393262 N458798 JJ458798 TF458798 ADB458798 AMX458798 AWT458798 BGP458798 BQL458798 CAH458798 CKD458798 CTZ458798 DDV458798 DNR458798 DXN458798 EHJ458798 ERF458798 FBB458798 FKX458798 FUT458798 GEP458798 GOL458798 GYH458798 HID458798 HRZ458798 IBV458798 ILR458798 IVN458798 JFJ458798 JPF458798 JZB458798 KIX458798 KST458798 LCP458798 LML458798 LWH458798 MGD458798 MPZ458798 MZV458798 NJR458798 NTN458798 ODJ458798 ONF458798 OXB458798 PGX458798 PQT458798 QAP458798 QKL458798 QUH458798 RED458798 RNZ458798 RXV458798 SHR458798 SRN458798 TBJ458798 TLF458798 TVB458798 UEX458798 UOT458798 UYP458798 VIL458798 VSH458798 WCD458798 WLZ458798 WVV458798 N524334 JJ524334 TF524334 ADB524334 AMX524334 AWT524334 BGP524334 BQL524334 CAH524334 CKD524334 CTZ524334 DDV524334 DNR524334 DXN524334 EHJ524334 ERF524334 FBB524334 FKX524334 FUT524334 GEP524334 GOL524334 GYH524334 HID524334 HRZ524334 IBV524334 ILR524334 IVN524334 JFJ524334 JPF524334 JZB524334 KIX524334 KST524334 LCP524334 LML524334 LWH524334 MGD524334 MPZ524334 MZV524334 NJR524334 NTN524334 ODJ524334 ONF524334 OXB524334 PGX524334 PQT524334 QAP524334 QKL524334 QUH524334 RED524334 RNZ524334 RXV524334 SHR524334 SRN524334 TBJ524334 TLF524334 TVB524334 UEX524334 UOT524334 UYP524334 VIL524334 VSH524334 WCD524334 WLZ524334 WVV524334 N589870 JJ589870 TF589870 ADB589870 AMX589870 AWT589870 BGP589870 BQL589870 CAH589870 CKD589870 CTZ589870 DDV589870 DNR589870 DXN589870 EHJ589870 ERF589870 FBB589870 FKX589870 FUT589870 GEP589870 GOL589870 GYH589870 HID589870 HRZ589870 IBV589870 ILR589870 IVN589870 JFJ589870 JPF589870 JZB589870 KIX589870 KST589870 LCP589870 LML589870 LWH589870 MGD589870 MPZ589870 MZV589870 NJR589870 NTN589870 ODJ589870 ONF589870 OXB589870 PGX589870 PQT589870 QAP589870 QKL589870 QUH589870 RED589870 RNZ589870 RXV589870 SHR589870 SRN589870 TBJ589870 TLF589870 TVB589870 UEX589870 UOT589870 UYP589870 VIL589870 VSH589870 WCD589870 WLZ589870 WVV589870 N655406 JJ655406 TF655406 ADB655406 AMX655406 AWT655406 BGP655406 BQL655406 CAH655406 CKD655406 CTZ655406 DDV655406 DNR655406 DXN655406 EHJ655406 ERF655406 FBB655406 FKX655406 FUT655406 GEP655406 GOL655406 GYH655406 HID655406 HRZ655406 IBV655406 ILR655406 IVN655406 JFJ655406 JPF655406 JZB655406 KIX655406 KST655406 LCP655406 LML655406 LWH655406 MGD655406 MPZ655406 MZV655406 NJR655406 NTN655406 ODJ655406 ONF655406 OXB655406 PGX655406 PQT655406 QAP655406 QKL655406 QUH655406 RED655406 RNZ655406 RXV655406 SHR655406 SRN655406 TBJ655406 TLF655406 TVB655406 UEX655406 UOT655406 UYP655406 VIL655406 VSH655406 WCD655406 WLZ655406 WVV655406 N720942 JJ720942 TF720942 ADB720942 AMX720942 AWT720942 BGP720942 BQL720942 CAH720942 CKD720942 CTZ720942 DDV720942 DNR720942 DXN720942 EHJ720942 ERF720942 FBB720942 FKX720942 FUT720942 GEP720942 GOL720942 GYH720942 HID720942 HRZ720942 IBV720942 ILR720942 IVN720942 JFJ720942 JPF720942 JZB720942 KIX720942 KST720942 LCP720942 LML720942 LWH720942 MGD720942 MPZ720942 MZV720942 NJR720942 NTN720942 ODJ720942 ONF720942 OXB720942 PGX720942 PQT720942 QAP720942 QKL720942 QUH720942 RED720942 RNZ720942 RXV720942 SHR720942 SRN720942 TBJ720942 TLF720942 TVB720942 UEX720942 UOT720942 UYP720942 VIL720942 VSH720942 WCD720942 WLZ720942 WVV720942 N786478 JJ786478 TF786478 ADB786478 AMX786478 AWT786478 BGP786478 BQL786478 CAH786478 CKD786478 CTZ786478 DDV786478 DNR786478 DXN786478 EHJ786478 ERF786478 FBB786478 FKX786478 FUT786478 GEP786478 GOL786478 GYH786478 HID786478 HRZ786478 IBV786478 ILR786478 IVN786478 JFJ786478 JPF786478 JZB786478 KIX786478 KST786478 LCP786478 LML786478 LWH786478 MGD786478 MPZ786478 MZV786478 NJR786478 NTN786478 ODJ786478 ONF786478 OXB786478 PGX786478 PQT786478 QAP786478 QKL786478 QUH786478 RED786478 RNZ786478 RXV786478 SHR786478 SRN786478 TBJ786478 TLF786478 TVB786478 UEX786478 UOT786478 UYP786478 VIL786478 VSH786478 WCD786478 WLZ786478 WVV786478 N852014 JJ852014 TF852014 ADB852014 AMX852014 AWT852014 BGP852014 BQL852014 CAH852014 CKD852014 CTZ852014 DDV852014 DNR852014 DXN852014 EHJ852014 ERF852014 FBB852014 FKX852014 FUT852014 GEP852014 GOL852014 GYH852014 HID852014 HRZ852014 IBV852014 ILR852014 IVN852014 JFJ852014 JPF852014 JZB852014 KIX852014 KST852014 LCP852014 LML852014 LWH852014 MGD852014 MPZ852014 MZV852014 NJR852014 NTN852014 ODJ852014 ONF852014 OXB852014 PGX852014 PQT852014 QAP852014 QKL852014 QUH852014 RED852014 RNZ852014 RXV852014 SHR852014 SRN852014 TBJ852014 TLF852014 TVB852014 UEX852014 UOT852014 UYP852014 VIL852014 VSH852014 WCD852014 WLZ852014 WVV852014 N917550 JJ917550 TF917550 ADB917550 AMX917550 AWT917550 BGP917550 BQL917550 CAH917550 CKD917550 CTZ917550 DDV917550 DNR917550 DXN917550 EHJ917550 ERF917550 FBB917550 FKX917550 FUT917550 GEP917550 GOL917550 GYH917550 HID917550 HRZ917550 IBV917550 ILR917550 IVN917550 JFJ917550 JPF917550 JZB917550 KIX917550 KST917550 LCP917550 LML917550 LWH917550 MGD917550 MPZ917550 MZV917550 NJR917550 NTN917550 ODJ917550 ONF917550 OXB917550 PGX917550 PQT917550 QAP917550 QKL917550 QUH917550 RED917550 RNZ917550 RXV917550 SHR917550 SRN917550 TBJ917550 TLF917550 TVB917550 UEX917550 UOT917550 UYP917550 VIL917550 VSH917550 WCD917550 WLZ917550 WVV917550 N983086 JJ983086 TF983086 ADB983086 AMX983086 AWT983086 BGP983086 BQL983086 CAH983086 CKD983086 CTZ983086 DDV983086 DNR983086 DXN983086 EHJ983086 ERF983086 FBB983086 FKX983086 FUT983086 GEP983086 GOL983086 GYH983086 HID983086 HRZ983086 IBV983086 ILR983086 IVN983086 JFJ983086 JPF983086 JZB983086 KIX983086 KST983086 LCP983086 LML983086 LWH983086 MGD983086 MPZ983086 MZV983086 NJR983086 NTN983086 ODJ983086 ONF983086 OXB983086 PGX983086 PQT983086 QAP983086 QKL983086 QUH983086 RED983086 RNZ983086 RXV983086 SHR983086 SRN983086 TBJ983086 TLF983086 TVB983086 UEX983086 UOT983086 UYP983086 VIL983086 VSH983086 WCD983086 WLZ983086 WVV983086">
      <formula1>0</formula1>
      <formula2>(N57*N75+Z43+Z48+Z50)*T39/1000+1</formula2>
    </dataValidation>
    <dataValidation type="whole" allowBlank="1" showInputMessage="1" showErrorMessage="1" errorTitle="输入数值非法" error="最小值2，最大值D13" sqref="N47 JJ47 TF47 ADB47 AMX47 AWT47 BGP47 BQL47 CAH47 CKD47 CTZ47 DDV47 DNR47 DXN47 EHJ47 ERF47 FBB47 FKX47 FUT47 GEP47 GOL47 GYH47 HID47 HRZ47 IBV47 ILR47 IVN47 JFJ47 JPF47 JZB47 KIX47 KST47 LCP47 LML47 LWH47 MGD47 MPZ47 MZV47 NJR47 NTN47 ODJ47 ONF47 OXB47 PGX47 PQT47 QAP47 QKL47 QUH47 RED47 RNZ47 RXV47 SHR47 SRN47 TBJ47 TLF47 TVB47 UEX47 UOT47 UYP47 VIL47 VSH47 WCD47 WLZ47 WVV47 N65583 JJ65583 TF65583 ADB65583 AMX65583 AWT65583 BGP65583 BQL65583 CAH65583 CKD65583 CTZ65583 DDV65583 DNR65583 DXN65583 EHJ65583 ERF65583 FBB65583 FKX65583 FUT65583 GEP65583 GOL65583 GYH65583 HID65583 HRZ65583 IBV65583 ILR65583 IVN65583 JFJ65583 JPF65583 JZB65583 KIX65583 KST65583 LCP65583 LML65583 LWH65583 MGD65583 MPZ65583 MZV65583 NJR65583 NTN65583 ODJ65583 ONF65583 OXB65583 PGX65583 PQT65583 QAP65583 QKL65583 QUH65583 RED65583 RNZ65583 RXV65583 SHR65583 SRN65583 TBJ65583 TLF65583 TVB65583 UEX65583 UOT65583 UYP65583 VIL65583 VSH65583 WCD65583 WLZ65583 WVV65583 N131119 JJ131119 TF131119 ADB131119 AMX131119 AWT131119 BGP131119 BQL131119 CAH131119 CKD131119 CTZ131119 DDV131119 DNR131119 DXN131119 EHJ131119 ERF131119 FBB131119 FKX131119 FUT131119 GEP131119 GOL131119 GYH131119 HID131119 HRZ131119 IBV131119 ILR131119 IVN131119 JFJ131119 JPF131119 JZB131119 KIX131119 KST131119 LCP131119 LML131119 LWH131119 MGD131119 MPZ131119 MZV131119 NJR131119 NTN131119 ODJ131119 ONF131119 OXB131119 PGX131119 PQT131119 QAP131119 QKL131119 QUH131119 RED131119 RNZ131119 RXV131119 SHR131119 SRN131119 TBJ131119 TLF131119 TVB131119 UEX131119 UOT131119 UYP131119 VIL131119 VSH131119 WCD131119 WLZ131119 WVV131119 N196655 JJ196655 TF196655 ADB196655 AMX196655 AWT196655 BGP196655 BQL196655 CAH196655 CKD196655 CTZ196655 DDV196655 DNR196655 DXN196655 EHJ196655 ERF196655 FBB196655 FKX196655 FUT196655 GEP196655 GOL196655 GYH196655 HID196655 HRZ196655 IBV196655 ILR196655 IVN196655 JFJ196655 JPF196655 JZB196655 KIX196655 KST196655 LCP196655 LML196655 LWH196655 MGD196655 MPZ196655 MZV196655 NJR196655 NTN196655 ODJ196655 ONF196655 OXB196655 PGX196655 PQT196655 QAP196655 QKL196655 QUH196655 RED196655 RNZ196655 RXV196655 SHR196655 SRN196655 TBJ196655 TLF196655 TVB196655 UEX196655 UOT196655 UYP196655 VIL196655 VSH196655 WCD196655 WLZ196655 WVV196655 N262191 JJ262191 TF262191 ADB262191 AMX262191 AWT262191 BGP262191 BQL262191 CAH262191 CKD262191 CTZ262191 DDV262191 DNR262191 DXN262191 EHJ262191 ERF262191 FBB262191 FKX262191 FUT262191 GEP262191 GOL262191 GYH262191 HID262191 HRZ262191 IBV262191 ILR262191 IVN262191 JFJ262191 JPF262191 JZB262191 KIX262191 KST262191 LCP262191 LML262191 LWH262191 MGD262191 MPZ262191 MZV262191 NJR262191 NTN262191 ODJ262191 ONF262191 OXB262191 PGX262191 PQT262191 QAP262191 QKL262191 QUH262191 RED262191 RNZ262191 RXV262191 SHR262191 SRN262191 TBJ262191 TLF262191 TVB262191 UEX262191 UOT262191 UYP262191 VIL262191 VSH262191 WCD262191 WLZ262191 WVV262191 N327727 JJ327727 TF327727 ADB327727 AMX327727 AWT327727 BGP327727 BQL327727 CAH327727 CKD327727 CTZ327727 DDV327727 DNR327727 DXN327727 EHJ327727 ERF327727 FBB327727 FKX327727 FUT327727 GEP327727 GOL327727 GYH327727 HID327727 HRZ327727 IBV327727 ILR327727 IVN327727 JFJ327727 JPF327727 JZB327727 KIX327727 KST327727 LCP327727 LML327727 LWH327727 MGD327727 MPZ327727 MZV327727 NJR327727 NTN327727 ODJ327727 ONF327727 OXB327727 PGX327727 PQT327727 QAP327727 QKL327727 QUH327727 RED327727 RNZ327727 RXV327727 SHR327727 SRN327727 TBJ327727 TLF327727 TVB327727 UEX327727 UOT327727 UYP327727 VIL327727 VSH327727 WCD327727 WLZ327727 WVV327727 N393263 JJ393263 TF393263 ADB393263 AMX393263 AWT393263 BGP393263 BQL393263 CAH393263 CKD393263 CTZ393263 DDV393263 DNR393263 DXN393263 EHJ393263 ERF393263 FBB393263 FKX393263 FUT393263 GEP393263 GOL393263 GYH393263 HID393263 HRZ393263 IBV393263 ILR393263 IVN393263 JFJ393263 JPF393263 JZB393263 KIX393263 KST393263 LCP393263 LML393263 LWH393263 MGD393263 MPZ393263 MZV393263 NJR393263 NTN393263 ODJ393263 ONF393263 OXB393263 PGX393263 PQT393263 QAP393263 QKL393263 QUH393263 RED393263 RNZ393263 RXV393263 SHR393263 SRN393263 TBJ393263 TLF393263 TVB393263 UEX393263 UOT393263 UYP393263 VIL393263 VSH393263 WCD393263 WLZ393263 WVV393263 N458799 JJ458799 TF458799 ADB458799 AMX458799 AWT458799 BGP458799 BQL458799 CAH458799 CKD458799 CTZ458799 DDV458799 DNR458799 DXN458799 EHJ458799 ERF458799 FBB458799 FKX458799 FUT458799 GEP458799 GOL458799 GYH458799 HID458799 HRZ458799 IBV458799 ILR458799 IVN458799 JFJ458799 JPF458799 JZB458799 KIX458799 KST458799 LCP458799 LML458799 LWH458799 MGD458799 MPZ458799 MZV458799 NJR458799 NTN458799 ODJ458799 ONF458799 OXB458799 PGX458799 PQT458799 QAP458799 QKL458799 QUH458799 RED458799 RNZ458799 RXV458799 SHR458799 SRN458799 TBJ458799 TLF458799 TVB458799 UEX458799 UOT458799 UYP458799 VIL458799 VSH458799 WCD458799 WLZ458799 WVV458799 N524335 JJ524335 TF524335 ADB524335 AMX524335 AWT524335 BGP524335 BQL524335 CAH524335 CKD524335 CTZ524335 DDV524335 DNR524335 DXN524335 EHJ524335 ERF524335 FBB524335 FKX524335 FUT524335 GEP524335 GOL524335 GYH524335 HID524335 HRZ524335 IBV524335 ILR524335 IVN524335 JFJ524335 JPF524335 JZB524335 KIX524335 KST524335 LCP524335 LML524335 LWH524335 MGD524335 MPZ524335 MZV524335 NJR524335 NTN524335 ODJ524335 ONF524335 OXB524335 PGX524335 PQT524335 QAP524335 QKL524335 QUH524335 RED524335 RNZ524335 RXV524335 SHR524335 SRN524335 TBJ524335 TLF524335 TVB524335 UEX524335 UOT524335 UYP524335 VIL524335 VSH524335 WCD524335 WLZ524335 WVV524335 N589871 JJ589871 TF589871 ADB589871 AMX589871 AWT589871 BGP589871 BQL589871 CAH589871 CKD589871 CTZ589871 DDV589871 DNR589871 DXN589871 EHJ589871 ERF589871 FBB589871 FKX589871 FUT589871 GEP589871 GOL589871 GYH589871 HID589871 HRZ589871 IBV589871 ILR589871 IVN589871 JFJ589871 JPF589871 JZB589871 KIX589871 KST589871 LCP589871 LML589871 LWH589871 MGD589871 MPZ589871 MZV589871 NJR589871 NTN589871 ODJ589871 ONF589871 OXB589871 PGX589871 PQT589871 QAP589871 QKL589871 QUH589871 RED589871 RNZ589871 RXV589871 SHR589871 SRN589871 TBJ589871 TLF589871 TVB589871 UEX589871 UOT589871 UYP589871 VIL589871 VSH589871 WCD589871 WLZ589871 WVV589871 N655407 JJ655407 TF655407 ADB655407 AMX655407 AWT655407 BGP655407 BQL655407 CAH655407 CKD655407 CTZ655407 DDV655407 DNR655407 DXN655407 EHJ655407 ERF655407 FBB655407 FKX655407 FUT655407 GEP655407 GOL655407 GYH655407 HID655407 HRZ655407 IBV655407 ILR655407 IVN655407 JFJ655407 JPF655407 JZB655407 KIX655407 KST655407 LCP655407 LML655407 LWH655407 MGD655407 MPZ655407 MZV655407 NJR655407 NTN655407 ODJ655407 ONF655407 OXB655407 PGX655407 PQT655407 QAP655407 QKL655407 QUH655407 RED655407 RNZ655407 RXV655407 SHR655407 SRN655407 TBJ655407 TLF655407 TVB655407 UEX655407 UOT655407 UYP655407 VIL655407 VSH655407 WCD655407 WLZ655407 WVV655407 N720943 JJ720943 TF720943 ADB720943 AMX720943 AWT720943 BGP720943 BQL720943 CAH720943 CKD720943 CTZ720943 DDV720943 DNR720943 DXN720943 EHJ720943 ERF720943 FBB720943 FKX720943 FUT720943 GEP720943 GOL720943 GYH720943 HID720943 HRZ720943 IBV720943 ILR720943 IVN720943 JFJ720943 JPF720943 JZB720943 KIX720943 KST720943 LCP720943 LML720943 LWH720943 MGD720943 MPZ720943 MZV720943 NJR720943 NTN720943 ODJ720943 ONF720943 OXB720943 PGX720943 PQT720943 QAP720943 QKL720943 QUH720943 RED720943 RNZ720943 RXV720943 SHR720943 SRN720943 TBJ720943 TLF720943 TVB720943 UEX720943 UOT720943 UYP720943 VIL720943 VSH720943 WCD720943 WLZ720943 WVV720943 N786479 JJ786479 TF786479 ADB786479 AMX786479 AWT786479 BGP786479 BQL786479 CAH786479 CKD786479 CTZ786479 DDV786479 DNR786479 DXN786479 EHJ786479 ERF786479 FBB786479 FKX786479 FUT786479 GEP786479 GOL786479 GYH786479 HID786479 HRZ786479 IBV786479 ILR786479 IVN786479 JFJ786479 JPF786479 JZB786479 KIX786479 KST786479 LCP786479 LML786479 LWH786479 MGD786479 MPZ786479 MZV786479 NJR786479 NTN786479 ODJ786479 ONF786479 OXB786479 PGX786479 PQT786479 QAP786479 QKL786479 QUH786479 RED786479 RNZ786479 RXV786479 SHR786479 SRN786479 TBJ786479 TLF786479 TVB786479 UEX786479 UOT786479 UYP786479 VIL786479 VSH786479 WCD786479 WLZ786479 WVV786479 N852015 JJ852015 TF852015 ADB852015 AMX852015 AWT852015 BGP852015 BQL852015 CAH852015 CKD852015 CTZ852015 DDV852015 DNR852015 DXN852015 EHJ852015 ERF852015 FBB852015 FKX852015 FUT852015 GEP852015 GOL852015 GYH852015 HID852015 HRZ852015 IBV852015 ILR852015 IVN852015 JFJ852015 JPF852015 JZB852015 KIX852015 KST852015 LCP852015 LML852015 LWH852015 MGD852015 MPZ852015 MZV852015 NJR852015 NTN852015 ODJ852015 ONF852015 OXB852015 PGX852015 PQT852015 QAP852015 QKL852015 QUH852015 RED852015 RNZ852015 RXV852015 SHR852015 SRN852015 TBJ852015 TLF852015 TVB852015 UEX852015 UOT852015 UYP852015 VIL852015 VSH852015 WCD852015 WLZ852015 WVV852015 N917551 JJ917551 TF917551 ADB917551 AMX917551 AWT917551 BGP917551 BQL917551 CAH917551 CKD917551 CTZ917551 DDV917551 DNR917551 DXN917551 EHJ917551 ERF917551 FBB917551 FKX917551 FUT917551 GEP917551 GOL917551 GYH917551 HID917551 HRZ917551 IBV917551 ILR917551 IVN917551 JFJ917551 JPF917551 JZB917551 KIX917551 KST917551 LCP917551 LML917551 LWH917551 MGD917551 MPZ917551 MZV917551 NJR917551 NTN917551 ODJ917551 ONF917551 OXB917551 PGX917551 PQT917551 QAP917551 QKL917551 QUH917551 RED917551 RNZ917551 RXV917551 SHR917551 SRN917551 TBJ917551 TLF917551 TVB917551 UEX917551 UOT917551 UYP917551 VIL917551 VSH917551 WCD917551 WLZ917551 WVV917551 N983087 JJ983087 TF983087 ADB983087 AMX983087 AWT983087 BGP983087 BQL983087 CAH983087 CKD983087 CTZ983087 DDV983087 DNR983087 DXN983087 EHJ983087 ERF983087 FBB983087 FKX983087 FUT983087 GEP983087 GOL983087 GYH983087 HID983087 HRZ983087 IBV983087 ILR983087 IVN983087 JFJ983087 JPF983087 JZB983087 KIX983087 KST983087 LCP983087 LML983087 LWH983087 MGD983087 MPZ983087 MZV983087 NJR983087 NTN983087 ODJ983087 ONF983087 OXB983087 PGX983087 PQT983087 QAP983087 QKL983087 QUH983087 RED983087 RNZ983087 RXV983087 SHR983087 SRN983087 TBJ983087 TLF983087 TVB983087 UEX983087 UOT983087 UYP983087 VIL983087 VSH983087 WCD983087 WLZ983087 WVV983087">
      <formula1>0</formula1>
      <formula2>1000000</formula2>
    </dataValidation>
    <dataValidation type="whole" allowBlank="1" showInputMessage="1" showErrorMessage="1" errorTitle="超出范围" error="触发延时的范围是0-3000000us" sqref="N52 JJ52 TF52 ADB52 AMX52 AWT52 BGP52 BQL52 CAH52 CKD52 CTZ52 DDV52 DNR52 DXN52 EHJ52 ERF52 FBB52 FKX52 FUT52 GEP52 GOL52 GYH52 HID52 HRZ52 IBV52 ILR52 IVN52 JFJ52 JPF52 JZB52 KIX52 KST52 LCP52 LML52 LWH52 MGD52 MPZ52 MZV52 NJR52 NTN52 ODJ52 ONF52 OXB52 PGX52 PQT52 QAP52 QKL52 QUH52 RED52 RNZ52 RXV52 SHR52 SRN52 TBJ52 TLF52 TVB52 UEX52 UOT52 UYP52 VIL52 VSH52 WCD52 WLZ52 WVV52 N65588 JJ65588 TF65588 ADB65588 AMX65588 AWT65588 BGP65588 BQL65588 CAH65588 CKD65588 CTZ65588 DDV65588 DNR65588 DXN65588 EHJ65588 ERF65588 FBB65588 FKX65588 FUT65588 GEP65588 GOL65588 GYH65588 HID65588 HRZ65588 IBV65588 ILR65588 IVN65588 JFJ65588 JPF65588 JZB65588 KIX65588 KST65588 LCP65588 LML65588 LWH65588 MGD65588 MPZ65588 MZV65588 NJR65588 NTN65588 ODJ65588 ONF65588 OXB65588 PGX65588 PQT65588 QAP65588 QKL65588 QUH65588 RED65588 RNZ65588 RXV65588 SHR65588 SRN65588 TBJ65588 TLF65588 TVB65588 UEX65588 UOT65588 UYP65588 VIL65588 VSH65588 WCD65588 WLZ65588 WVV65588 N131124 JJ131124 TF131124 ADB131124 AMX131124 AWT131124 BGP131124 BQL131124 CAH131124 CKD131124 CTZ131124 DDV131124 DNR131124 DXN131124 EHJ131124 ERF131124 FBB131124 FKX131124 FUT131124 GEP131124 GOL131124 GYH131124 HID131124 HRZ131124 IBV131124 ILR131124 IVN131124 JFJ131124 JPF131124 JZB131124 KIX131124 KST131124 LCP131124 LML131124 LWH131124 MGD131124 MPZ131124 MZV131124 NJR131124 NTN131124 ODJ131124 ONF131124 OXB131124 PGX131124 PQT131124 QAP131124 QKL131124 QUH131124 RED131124 RNZ131124 RXV131124 SHR131124 SRN131124 TBJ131124 TLF131124 TVB131124 UEX131124 UOT131124 UYP131124 VIL131124 VSH131124 WCD131124 WLZ131124 WVV131124 N196660 JJ196660 TF196660 ADB196660 AMX196660 AWT196660 BGP196660 BQL196660 CAH196660 CKD196660 CTZ196660 DDV196660 DNR196660 DXN196660 EHJ196660 ERF196660 FBB196660 FKX196660 FUT196660 GEP196660 GOL196660 GYH196660 HID196660 HRZ196660 IBV196660 ILR196660 IVN196660 JFJ196660 JPF196660 JZB196660 KIX196660 KST196660 LCP196660 LML196660 LWH196660 MGD196660 MPZ196660 MZV196660 NJR196660 NTN196660 ODJ196660 ONF196660 OXB196660 PGX196660 PQT196660 QAP196660 QKL196660 QUH196660 RED196660 RNZ196660 RXV196660 SHR196660 SRN196660 TBJ196660 TLF196660 TVB196660 UEX196660 UOT196660 UYP196660 VIL196660 VSH196660 WCD196660 WLZ196660 WVV196660 N262196 JJ262196 TF262196 ADB262196 AMX262196 AWT262196 BGP262196 BQL262196 CAH262196 CKD262196 CTZ262196 DDV262196 DNR262196 DXN262196 EHJ262196 ERF262196 FBB262196 FKX262196 FUT262196 GEP262196 GOL262196 GYH262196 HID262196 HRZ262196 IBV262196 ILR262196 IVN262196 JFJ262196 JPF262196 JZB262196 KIX262196 KST262196 LCP262196 LML262196 LWH262196 MGD262196 MPZ262196 MZV262196 NJR262196 NTN262196 ODJ262196 ONF262196 OXB262196 PGX262196 PQT262196 QAP262196 QKL262196 QUH262196 RED262196 RNZ262196 RXV262196 SHR262196 SRN262196 TBJ262196 TLF262196 TVB262196 UEX262196 UOT262196 UYP262196 VIL262196 VSH262196 WCD262196 WLZ262196 WVV262196 N327732 JJ327732 TF327732 ADB327732 AMX327732 AWT327732 BGP327732 BQL327732 CAH327732 CKD327732 CTZ327732 DDV327732 DNR327732 DXN327732 EHJ327732 ERF327732 FBB327732 FKX327732 FUT327732 GEP327732 GOL327732 GYH327732 HID327732 HRZ327732 IBV327732 ILR327732 IVN327732 JFJ327732 JPF327732 JZB327732 KIX327732 KST327732 LCP327732 LML327732 LWH327732 MGD327732 MPZ327732 MZV327732 NJR327732 NTN327732 ODJ327732 ONF327732 OXB327732 PGX327732 PQT327732 QAP327732 QKL327732 QUH327732 RED327732 RNZ327732 RXV327732 SHR327732 SRN327732 TBJ327732 TLF327732 TVB327732 UEX327732 UOT327732 UYP327732 VIL327732 VSH327732 WCD327732 WLZ327732 WVV327732 N393268 JJ393268 TF393268 ADB393268 AMX393268 AWT393268 BGP393268 BQL393268 CAH393268 CKD393268 CTZ393268 DDV393268 DNR393268 DXN393268 EHJ393268 ERF393268 FBB393268 FKX393268 FUT393268 GEP393268 GOL393268 GYH393268 HID393268 HRZ393268 IBV393268 ILR393268 IVN393268 JFJ393268 JPF393268 JZB393268 KIX393268 KST393268 LCP393268 LML393268 LWH393268 MGD393268 MPZ393268 MZV393268 NJR393268 NTN393268 ODJ393268 ONF393268 OXB393268 PGX393268 PQT393268 QAP393268 QKL393268 QUH393268 RED393268 RNZ393268 RXV393268 SHR393268 SRN393268 TBJ393268 TLF393268 TVB393268 UEX393268 UOT393268 UYP393268 VIL393268 VSH393268 WCD393268 WLZ393268 WVV393268 N458804 JJ458804 TF458804 ADB458804 AMX458804 AWT458804 BGP458804 BQL458804 CAH458804 CKD458804 CTZ458804 DDV458804 DNR458804 DXN458804 EHJ458804 ERF458804 FBB458804 FKX458804 FUT458804 GEP458804 GOL458804 GYH458804 HID458804 HRZ458804 IBV458804 ILR458804 IVN458804 JFJ458804 JPF458804 JZB458804 KIX458804 KST458804 LCP458804 LML458804 LWH458804 MGD458804 MPZ458804 MZV458804 NJR458804 NTN458804 ODJ458804 ONF458804 OXB458804 PGX458804 PQT458804 QAP458804 QKL458804 QUH458804 RED458804 RNZ458804 RXV458804 SHR458804 SRN458804 TBJ458804 TLF458804 TVB458804 UEX458804 UOT458804 UYP458804 VIL458804 VSH458804 WCD458804 WLZ458804 WVV458804 N524340 JJ524340 TF524340 ADB524340 AMX524340 AWT524340 BGP524340 BQL524340 CAH524340 CKD524340 CTZ524340 DDV524340 DNR524340 DXN524340 EHJ524340 ERF524340 FBB524340 FKX524340 FUT524340 GEP524340 GOL524340 GYH524340 HID524340 HRZ524340 IBV524340 ILR524340 IVN524340 JFJ524340 JPF524340 JZB524340 KIX524340 KST524340 LCP524340 LML524340 LWH524340 MGD524340 MPZ524340 MZV524340 NJR524340 NTN524340 ODJ524340 ONF524340 OXB524340 PGX524340 PQT524340 QAP524340 QKL524340 QUH524340 RED524340 RNZ524340 RXV524340 SHR524340 SRN524340 TBJ524340 TLF524340 TVB524340 UEX524340 UOT524340 UYP524340 VIL524340 VSH524340 WCD524340 WLZ524340 WVV524340 N589876 JJ589876 TF589876 ADB589876 AMX589876 AWT589876 BGP589876 BQL589876 CAH589876 CKD589876 CTZ589876 DDV589876 DNR589876 DXN589876 EHJ589876 ERF589876 FBB589876 FKX589876 FUT589876 GEP589876 GOL589876 GYH589876 HID589876 HRZ589876 IBV589876 ILR589876 IVN589876 JFJ589876 JPF589876 JZB589876 KIX589876 KST589876 LCP589876 LML589876 LWH589876 MGD589876 MPZ589876 MZV589876 NJR589876 NTN589876 ODJ589876 ONF589876 OXB589876 PGX589876 PQT589876 QAP589876 QKL589876 QUH589876 RED589876 RNZ589876 RXV589876 SHR589876 SRN589876 TBJ589876 TLF589876 TVB589876 UEX589876 UOT589876 UYP589876 VIL589876 VSH589876 WCD589876 WLZ589876 WVV589876 N655412 JJ655412 TF655412 ADB655412 AMX655412 AWT655412 BGP655412 BQL655412 CAH655412 CKD655412 CTZ655412 DDV655412 DNR655412 DXN655412 EHJ655412 ERF655412 FBB655412 FKX655412 FUT655412 GEP655412 GOL655412 GYH655412 HID655412 HRZ655412 IBV655412 ILR655412 IVN655412 JFJ655412 JPF655412 JZB655412 KIX655412 KST655412 LCP655412 LML655412 LWH655412 MGD655412 MPZ655412 MZV655412 NJR655412 NTN655412 ODJ655412 ONF655412 OXB655412 PGX655412 PQT655412 QAP655412 QKL655412 QUH655412 RED655412 RNZ655412 RXV655412 SHR655412 SRN655412 TBJ655412 TLF655412 TVB655412 UEX655412 UOT655412 UYP655412 VIL655412 VSH655412 WCD655412 WLZ655412 WVV655412 N720948 JJ720948 TF720948 ADB720948 AMX720948 AWT720948 BGP720948 BQL720948 CAH720948 CKD720948 CTZ720948 DDV720948 DNR720948 DXN720948 EHJ720948 ERF720948 FBB720948 FKX720948 FUT720948 GEP720948 GOL720948 GYH720948 HID720948 HRZ720948 IBV720948 ILR720948 IVN720948 JFJ720948 JPF720948 JZB720948 KIX720948 KST720948 LCP720948 LML720948 LWH720948 MGD720948 MPZ720948 MZV720948 NJR720948 NTN720948 ODJ720948 ONF720948 OXB720948 PGX720948 PQT720948 QAP720948 QKL720948 QUH720948 RED720948 RNZ720948 RXV720948 SHR720948 SRN720948 TBJ720948 TLF720948 TVB720948 UEX720948 UOT720948 UYP720948 VIL720948 VSH720948 WCD720948 WLZ720948 WVV720948 N786484 JJ786484 TF786484 ADB786484 AMX786484 AWT786484 BGP786484 BQL786484 CAH786484 CKD786484 CTZ786484 DDV786484 DNR786484 DXN786484 EHJ786484 ERF786484 FBB786484 FKX786484 FUT786484 GEP786484 GOL786484 GYH786484 HID786484 HRZ786484 IBV786484 ILR786484 IVN786484 JFJ786484 JPF786484 JZB786484 KIX786484 KST786484 LCP786484 LML786484 LWH786484 MGD786484 MPZ786484 MZV786484 NJR786484 NTN786484 ODJ786484 ONF786484 OXB786484 PGX786484 PQT786484 QAP786484 QKL786484 QUH786484 RED786484 RNZ786484 RXV786484 SHR786484 SRN786484 TBJ786484 TLF786484 TVB786484 UEX786484 UOT786484 UYP786484 VIL786484 VSH786484 WCD786484 WLZ786484 WVV786484 N852020 JJ852020 TF852020 ADB852020 AMX852020 AWT852020 BGP852020 BQL852020 CAH852020 CKD852020 CTZ852020 DDV852020 DNR852020 DXN852020 EHJ852020 ERF852020 FBB852020 FKX852020 FUT852020 GEP852020 GOL852020 GYH852020 HID852020 HRZ852020 IBV852020 ILR852020 IVN852020 JFJ852020 JPF852020 JZB852020 KIX852020 KST852020 LCP852020 LML852020 LWH852020 MGD852020 MPZ852020 MZV852020 NJR852020 NTN852020 ODJ852020 ONF852020 OXB852020 PGX852020 PQT852020 QAP852020 QKL852020 QUH852020 RED852020 RNZ852020 RXV852020 SHR852020 SRN852020 TBJ852020 TLF852020 TVB852020 UEX852020 UOT852020 UYP852020 VIL852020 VSH852020 WCD852020 WLZ852020 WVV852020 N917556 JJ917556 TF917556 ADB917556 AMX917556 AWT917556 BGP917556 BQL917556 CAH917556 CKD917556 CTZ917556 DDV917556 DNR917556 DXN917556 EHJ917556 ERF917556 FBB917556 FKX917556 FUT917556 GEP917556 GOL917556 GYH917556 HID917556 HRZ917556 IBV917556 ILR917556 IVN917556 JFJ917556 JPF917556 JZB917556 KIX917556 KST917556 LCP917556 LML917556 LWH917556 MGD917556 MPZ917556 MZV917556 NJR917556 NTN917556 ODJ917556 ONF917556 OXB917556 PGX917556 PQT917556 QAP917556 QKL917556 QUH917556 RED917556 RNZ917556 RXV917556 SHR917556 SRN917556 TBJ917556 TLF917556 TVB917556 UEX917556 UOT917556 UYP917556 VIL917556 VSH917556 WCD917556 WLZ917556 WVV917556 N983092 JJ983092 TF983092 ADB983092 AMX983092 AWT983092 BGP983092 BQL983092 CAH983092 CKD983092 CTZ983092 DDV983092 DNR983092 DXN983092 EHJ983092 ERF983092 FBB983092 FKX983092 FUT983092 GEP983092 GOL983092 GYH983092 HID983092 HRZ983092 IBV983092 ILR983092 IVN983092 JFJ983092 JPF983092 JZB983092 KIX983092 KST983092 LCP983092 LML983092 LWH983092 MGD983092 MPZ983092 MZV983092 NJR983092 NTN983092 ODJ983092 ONF983092 OXB983092 PGX983092 PQT983092 QAP983092 QKL983092 QUH983092 RED983092 RNZ983092 RXV983092 SHR983092 SRN983092 TBJ983092 TLF983092 TVB983092 UEX983092 UOT983092 UYP983092 VIL983092 VSH983092 WCD983092 WLZ983092 WVV983092">
      <formula1>0</formula1>
      <formula2>3000000</formula2>
    </dataValidation>
    <dataValidation type="whole" allowBlank="1" showInputMessage="1" showErrorMessage="1" errorTitle="输入数值非法" error="最小值4，最大值D12" sqref="N56 JJ56 TF56 ADB56 AMX56 AWT56 BGP56 BQL56 CAH56 CKD56 CTZ56 DDV56 DNR56 DXN56 EHJ56 ERF56 FBB56 FKX56 FUT56 GEP56 GOL56 GYH56 HID56 HRZ56 IBV56 ILR56 IVN56 JFJ56 JPF56 JZB56 KIX56 KST56 LCP56 LML56 LWH56 MGD56 MPZ56 MZV56 NJR56 NTN56 ODJ56 ONF56 OXB56 PGX56 PQT56 QAP56 QKL56 QUH56 RED56 RNZ56 RXV56 SHR56 SRN56 TBJ56 TLF56 TVB56 UEX56 UOT56 UYP56 VIL56 VSH56 WCD56 WLZ56 WVV56 N65592 JJ65592 TF65592 ADB65592 AMX65592 AWT65592 BGP65592 BQL65592 CAH65592 CKD65592 CTZ65592 DDV65592 DNR65592 DXN65592 EHJ65592 ERF65592 FBB65592 FKX65592 FUT65592 GEP65592 GOL65592 GYH65592 HID65592 HRZ65592 IBV65592 ILR65592 IVN65592 JFJ65592 JPF65592 JZB65592 KIX65592 KST65592 LCP65592 LML65592 LWH65592 MGD65592 MPZ65592 MZV65592 NJR65592 NTN65592 ODJ65592 ONF65592 OXB65592 PGX65592 PQT65592 QAP65592 QKL65592 QUH65592 RED65592 RNZ65592 RXV65592 SHR65592 SRN65592 TBJ65592 TLF65592 TVB65592 UEX65592 UOT65592 UYP65592 VIL65592 VSH65592 WCD65592 WLZ65592 WVV65592 N131128 JJ131128 TF131128 ADB131128 AMX131128 AWT131128 BGP131128 BQL131128 CAH131128 CKD131128 CTZ131128 DDV131128 DNR131128 DXN131128 EHJ131128 ERF131128 FBB131128 FKX131128 FUT131128 GEP131128 GOL131128 GYH131128 HID131128 HRZ131128 IBV131128 ILR131128 IVN131128 JFJ131128 JPF131128 JZB131128 KIX131128 KST131128 LCP131128 LML131128 LWH131128 MGD131128 MPZ131128 MZV131128 NJR131128 NTN131128 ODJ131128 ONF131128 OXB131128 PGX131128 PQT131128 QAP131128 QKL131128 QUH131128 RED131128 RNZ131128 RXV131128 SHR131128 SRN131128 TBJ131128 TLF131128 TVB131128 UEX131128 UOT131128 UYP131128 VIL131128 VSH131128 WCD131128 WLZ131128 WVV131128 N196664 JJ196664 TF196664 ADB196664 AMX196664 AWT196664 BGP196664 BQL196664 CAH196664 CKD196664 CTZ196664 DDV196664 DNR196664 DXN196664 EHJ196664 ERF196664 FBB196664 FKX196664 FUT196664 GEP196664 GOL196664 GYH196664 HID196664 HRZ196664 IBV196664 ILR196664 IVN196664 JFJ196664 JPF196664 JZB196664 KIX196664 KST196664 LCP196664 LML196664 LWH196664 MGD196664 MPZ196664 MZV196664 NJR196664 NTN196664 ODJ196664 ONF196664 OXB196664 PGX196664 PQT196664 QAP196664 QKL196664 QUH196664 RED196664 RNZ196664 RXV196664 SHR196664 SRN196664 TBJ196664 TLF196664 TVB196664 UEX196664 UOT196664 UYP196664 VIL196664 VSH196664 WCD196664 WLZ196664 WVV196664 N262200 JJ262200 TF262200 ADB262200 AMX262200 AWT262200 BGP262200 BQL262200 CAH262200 CKD262200 CTZ262200 DDV262200 DNR262200 DXN262200 EHJ262200 ERF262200 FBB262200 FKX262200 FUT262200 GEP262200 GOL262200 GYH262200 HID262200 HRZ262200 IBV262200 ILR262200 IVN262200 JFJ262200 JPF262200 JZB262200 KIX262200 KST262200 LCP262200 LML262200 LWH262200 MGD262200 MPZ262200 MZV262200 NJR262200 NTN262200 ODJ262200 ONF262200 OXB262200 PGX262200 PQT262200 QAP262200 QKL262200 QUH262200 RED262200 RNZ262200 RXV262200 SHR262200 SRN262200 TBJ262200 TLF262200 TVB262200 UEX262200 UOT262200 UYP262200 VIL262200 VSH262200 WCD262200 WLZ262200 WVV262200 N327736 JJ327736 TF327736 ADB327736 AMX327736 AWT327736 BGP327736 BQL327736 CAH327736 CKD327736 CTZ327736 DDV327736 DNR327736 DXN327736 EHJ327736 ERF327736 FBB327736 FKX327736 FUT327736 GEP327736 GOL327736 GYH327736 HID327736 HRZ327736 IBV327736 ILR327736 IVN327736 JFJ327736 JPF327736 JZB327736 KIX327736 KST327736 LCP327736 LML327736 LWH327736 MGD327736 MPZ327736 MZV327736 NJR327736 NTN327736 ODJ327736 ONF327736 OXB327736 PGX327736 PQT327736 QAP327736 QKL327736 QUH327736 RED327736 RNZ327736 RXV327736 SHR327736 SRN327736 TBJ327736 TLF327736 TVB327736 UEX327736 UOT327736 UYP327736 VIL327736 VSH327736 WCD327736 WLZ327736 WVV327736 N393272 JJ393272 TF393272 ADB393272 AMX393272 AWT393272 BGP393272 BQL393272 CAH393272 CKD393272 CTZ393272 DDV393272 DNR393272 DXN393272 EHJ393272 ERF393272 FBB393272 FKX393272 FUT393272 GEP393272 GOL393272 GYH393272 HID393272 HRZ393272 IBV393272 ILR393272 IVN393272 JFJ393272 JPF393272 JZB393272 KIX393272 KST393272 LCP393272 LML393272 LWH393272 MGD393272 MPZ393272 MZV393272 NJR393272 NTN393272 ODJ393272 ONF393272 OXB393272 PGX393272 PQT393272 QAP393272 QKL393272 QUH393272 RED393272 RNZ393272 RXV393272 SHR393272 SRN393272 TBJ393272 TLF393272 TVB393272 UEX393272 UOT393272 UYP393272 VIL393272 VSH393272 WCD393272 WLZ393272 WVV393272 N458808 JJ458808 TF458808 ADB458808 AMX458808 AWT458808 BGP458808 BQL458808 CAH458808 CKD458808 CTZ458808 DDV458808 DNR458808 DXN458808 EHJ458808 ERF458808 FBB458808 FKX458808 FUT458808 GEP458808 GOL458808 GYH458808 HID458808 HRZ458808 IBV458808 ILR458808 IVN458808 JFJ458808 JPF458808 JZB458808 KIX458808 KST458808 LCP458808 LML458808 LWH458808 MGD458808 MPZ458808 MZV458808 NJR458808 NTN458808 ODJ458808 ONF458808 OXB458808 PGX458808 PQT458808 QAP458808 QKL458808 QUH458808 RED458808 RNZ458808 RXV458808 SHR458808 SRN458808 TBJ458808 TLF458808 TVB458808 UEX458808 UOT458808 UYP458808 VIL458808 VSH458808 WCD458808 WLZ458808 WVV458808 N524344 JJ524344 TF524344 ADB524344 AMX524344 AWT524344 BGP524344 BQL524344 CAH524344 CKD524344 CTZ524344 DDV524344 DNR524344 DXN524344 EHJ524344 ERF524344 FBB524344 FKX524344 FUT524344 GEP524344 GOL524344 GYH524344 HID524344 HRZ524344 IBV524344 ILR524344 IVN524344 JFJ524344 JPF524344 JZB524344 KIX524344 KST524344 LCP524344 LML524344 LWH524344 MGD524344 MPZ524344 MZV524344 NJR524344 NTN524344 ODJ524344 ONF524344 OXB524344 PGX524344 PQT524344 QAP524344 QKL524344 QUH524344 RED524344 RNZ524344 RXV524344 SHR524344 SRN524344 TBJ524344 TLF524344 TVB524344 UEX524344 UOT524344 UYP524344 VIL524344 VSH524344 WCD524344 WLZ524344 WVV524344 N589880 JJ589880 TF589880 ADB589880 AMX589880 AWT589880 BGP589880 BQL589880 CAH589880 CKD589880 CTZ589880 DDV589880 DNR589880 DXN589880 EHJ589880 ERF589880 FBB589880 FKX589880 FUT589880 GEP589880 GOL589880 GYH589880 HID589880 HRZ589880 IBV589880 ILR589880 IVN589880 JFJ589880 JPF589880 JZB589880 KIX589880 KST589880 LCP589880 LML589880 LWH589880 MGD589880 MPZ589880 MZV589880 NJR589880 NTN589880 ODJ589880 ONF589880 OXB589880 PGX589880 PQT589880 QAP589880 QKL589880 QUH589880 RED589880 RNZ589880 RXV589880 SHR589880 SRN589880 TBJ589880 TLF589880 TVB589880 UEX589880 UOT589880 UYP589880 VIL589880 VSH589880 WCD589880 WLZ589880 WVV589880 N655416 JJ655416 TF655416 ADB655416 AMX655416 AWT655416 BGP655416 BQL655416 CAH655416 CKD655416 CTZ655416 DDV655416 DNR655416 DXN655416 EHJ655416 ERF655416 FBB655416 FKX655416 FUT655416 GEP655416 GOL655416 GYH655416 HID655416 HRZ655416 IBV655416 ILR655416 IVN655416 JFJ655416 JPF655416 JZB655416 KIX655416 KST655416 LCP655416 LML655416 LWH655416 MGD655416 MPZ655416 MZV655416 NJR655416 NTN655416 ODJ655416 ONF655416 OXB655416 PGX655416 PQT655416 QAP655416 QKL655416 QUH655416 RED655416 RNZ655416 RXV655416 SHR655416 SRN655416 TBJ655416 TLF655416 TVB655416 UEX655416 UOT655416 UYP655416 VIL655416 VSH655416 WCD655416 WLZ655416 WVV655416 N720952 JJ720952 TF720952 ADB720952 AMX720952 AWT720952 BGP720952 BQL720952 CAH720952 CKD720952 CTZ720952 DDV720952 DNR720952 DXN720952 EHJ720952 ERF720952 FBB720952 FKX720952 FUT720952 GEP720952 GOL720952 GYH720952 HID720952 HRZ720952 IBV720952 ILR720952 IVN720952 JFJ720952 JPF720952 JZB720952 KIX720952 KST720952 LCP720952 LML720952 LWH720952 MGD720952 MPZ720952 MZV720952 NJR720952 NTN720952 ODJ720952 ONF720952 OXB720952 PGX720952 PQT720952 QAP720952 QKL720952 QUH720952 RED720952 RNZ720952 RXV720952 SHR720952 SRN720952 TBJ720952 TLF720952 TVB720952 UEX720952 UOT720952 UYP720952 VIL720952 VSH720952 WCD720952 WLZ720952 WVV720952 N786488 JJ786488 TF786488 ADB786488 AMX786488 AWT786488 BGP786488 BQL786488 CAH786488 CKD786488 CTZ786488 DDV786488 DNR786488 DXN786488 EHJ786488 ERF786488 FBB786488 FKX786488 FUT786488 GEP786488 GOL786488 GYH786488 HID786488 HRZ786488 IBV786488 ILR786488 IVN786488 JFJ786488 JPF786488 JZB786488 KIX786488 KST786488 LCP786488 LML786488 LWH786488 MGD786488 MPZ786488 MZV786488 NJR786488 NTN786488 ODJ786488 ONF786488 OXB786488 PGX786488 PQT786488 QAP786488 QKL786488 QUH786488 RED786488 RNZ786488 RXV786488 SHR786488 SRN786488 TBJ786488 TLF786488 TVB786488 UEX786488 UOT786488 UYP786488 VIL786488 VSH786488 WCD786488 WLZ786488 WVV786488 N852024 JJ852024 TF852024 ADB852024 AMX852024 AWT852024 BGP852024 BQL852024 CAH852024 CKD852024 CTZ852024 DDV852024 DNR852024 DXN852024 EHJ852024 ERF852024 FBB852024 FKX852024 FUT852024 GEP852024 GOL852024 GYH852024 HID852024 HRZ852024 IBV852024 ILR852024 IVN852024 JFJ852024 JPF852024 JZB852024 KIX852024 KST852024 LCP852024 LML852024 LWH852024 MGD852024 MPZ852024 MZV852024 NJR852024 NTN852024 ODJ852024 ONF852024 OXB852024 PGX852024 PQT852024 QAP852024 QKL852024 QUH852024 RED852024 RNZ852024 RXV852024 SHR852024 SRN852024 TBJ852024 TLF852024 TVB852024 UEX852024 UOT852024 UYP852024 VIL852024 VSH852024 WCD852024 WLZ852024 WVV852024 N917560 JJ917560 TF917560 ADB917560 AMX917560 AWT917560 BGP917560 BQL917560 CAH917560 CKD917560 CTZ917560 DDV917560 DNR917560 DXN917560 EHJ917560 ERF917560 FBB917560 FKX917560 FUT917560 GEP917560 GOL917560 GYH917560 HID917560 HRZ917560 IBV917560 ILR917560 IVN917560 JFJ917560 JPF917560 JZB917560 KIX917560 KST917560 LCP917560 LML917560 LWH917560 MGD917560 MPZ917560 MZV917560 NJR917560 NTN917560 ODJ917560 ONF917560 OXB917560 PGX917560 PQT917560 QAP917560 QKL917560 QUH917560 RED917560 RNZ917560 RXV917560 SHR917560 SRN917560 TBJ917560 TLF917560 TVB917560 UEX917560 UOT917560 UYP917560 VIL917560 VSH917560 WCD917560 WLZ917560 WVV917560 N983096 JJ983096 TF983096 ADB983096 AMX983096 AWT983096 BGP983096 BQL983096 CAH983096 CKD983096 CTZ983096 DDV983096 DNR983096 DXN983096 EHJ983096 ERF983096 FBB983096 FKX983096 FUT983096 GEP983096 GOL983096 GYH983096 HID983096 HRZ983096 IBV983096 ILR983096 IVN983096 JFJ983096 JPF983096 JZB983096 KIX983096 KST983096 LCP983096 LML983096 LWH983096 MGD983096 MPZ983096 MZV983096 NJR983096 NTN983096 ODJ983096 ONF983096 OXB983096 PGX983096 PQT983096 QAP983096 QKL983096 QUH983096 RED983096 RNZ983096 RXV983096 SHR983096 SRN983096 TBJ983096 TLF983096 TVB983096 UEX983096 UOT983096 UYP983096 VIL983096 VSH983096 WCD983096 WLZ983096 WVV983096">
      <formula1>4</formula1>
      <formula2>M56</formula2>
    </dataValidation>
    <dataValidation type="whole" allowBlank="1" showInputMessage="1" showErrorMessage="1" errorTitle="输入数值非法" error="最小值2，最大值D13" sqref="N57 JJ57 TF57 ADB57 AMX57 AWT57 BGP57 BQL57 CAH57 CKD57 CTZ57 DDV57 DNR57 DXN57 EHJ57 ERF57 FBB57 FKX57 FUT57 GEP57 GOL57 GYH57 HID57 HRZ57 IBV57 ILR57 IVN57 JFJ57 JPF57 JZB57 KIX57 KST57 LCP57 LML57 LWH57 MGD57 MPZ57 MZV57 NJR57 NTN57 ODJ57 ONF57 OXB57 PGX57 PQT57 QAP57 QKL57 QUH57 RED57 RNZ57 RXV57 SHR57 SRN57 TBJ57 TLF57 TVB57 UEX57 UOT57 UYP57 VIL57 VSH57 WCD57 WLZ57 WVV57 N65593 JJ65593 TF65593 ADB65593 AMX65593 AWT65593 BGP65593 BQL65593 CAH65593 CKD65593 CTZ65593 DDV65593 DNR65593 DXN65593 EHJ65593 ERF65593 FBB65593 FKX65593 FUT65593 GEP65593 GOL65593 GYH65593 HID65593 HRZ65593 IBV65593 ILR65593 IVN65593 JFJ65593 JPF65593 JZB65593 KIX65593 KST65593 LCP65593 LML65593 LWH65593 MGD65593 MPZ65593 MZV65593 NJR65593 NTN65593 ODJ65593 ONF65593 OXB65593 PGX65593 PQT65593 QAP65593 QKL65593 QUH65593 RED65593 RNZ65593 RXV65593 SHR65593 SRN65593 TBJ65593 TLF65593 TVB65593 UEX65593 UOT65593 UYP65593 VIL65593 VSH65593 WCD65593 WLZ65593 WVV65593 N131129 JJ131129 TF131129 ADB131129 AMX131129 AWT131129 BGP131129 BQL131129 CAH131129 CKD131129 CTZ131129 DDV131129 DNR131129 DXN131129 EHJ131129 ERF131129 FBB131129 FKX131129 FUT131129 GEP131129 GOL131129 GYH131129 HID131129 HRZ131129 IBV131129 ILR131129 IVN131129 JFJ131129 JPF131129 JZB131129 KIX131129 KST131129 LCP131129 LML131129 LWH131129 MGD131129 MPZ131129 MZV131129 NJR131129 NTN131129 ODJ131129 ONF131129 OXB131129 PGX131129 PQT131129 QAP131129 QKL131129 QUH131129 RED131129 RNZ131129 RXV131129 SHR131129 SRN131129 TBJ131129 TLF131129 TVB131129 UEX131129 UOT131129 UYP131129 VIL131129 VSH131129 WCD131129 WLZ131129 WVV131129 N196665 JJ196665 TF196665 ADB196665 AMX196665 AWT196665 BGP196665 BQL196665 CAH196665 CKD196665 CTZ196665 DDV196665 DNR196665 DXN196665 EHJ196665 ERF196665 FBB196665 FKX196665 FUT196665 GEP196665 GOL196665 GYH196665 HID196665 HRZ196665 IBV196665 ILR196665 IVN196665 JFJ196665 JPF196665 JZB196665 KIX196665 KST196665 LCP196665 LML196665 LWH196665 MGD196665 MPZ196665 MZV196665 NJR196665 NTN196665 ODJ196665 ONF196665 OXB196665 PGX196665 PQT196665 QAP196665 QKL196665 QUH196665 RED196665 RNZ196665 RXV196665 SHR196665 SRN196665 TBJ196665 TLF196665 TVB196665 UEX196665 UOT196665 UYP196665 VIL196665 VSH196665 WCD196665 WLZ196665 WVV196665 N262201 JJ262201 TF262201 ADB262201 AMX262201 AWT262201 BGP262201 BQL262201 CAH262201 CKD262201 CTZ262201 DDV262201 DNR262201 DXN262201 EHJ262201 ERF262201 FBB262201 FKX262201 FUT262201 GEP262201 GOL262201 GYH262201 HID262201 HRZ262201 IBV262201 ILR262201 IVN262201 JFJ262201 JPF262201 JZB262201 KIX262201 KST262201 LCP262201 LML262201 LWH262201 MGD262201 MPZ262201 MZV262201 NJR262201 NTN262201 ODJ262201 ONF262201 OXB262201 PGX262201 PQT262201 QAP262201 QKL262201 QUH262201 RED262201 RNZ262201 RXV262201 SHR262201 SRN262201 TBJ262201 TLF262201 TVB262201 UEX262201 UOT262201 UYP262201 VIL262201 VSH262201 WCD262201 WLZ262201 WVV262201 N327737 JJ327737 TF327737 ADB327737 AMX327737 AWT327737 BGP327737 BQL327737 CAH327737 CKD327737 CTZ327737 DDV327737 DNR327737 DXN327737 EHJ327737 ERF327737 FBB327737 FKX327737 FUT327737 GEP327737 GOL327737 GYH327737 HID327737 HRZ327737 IBV327737 ILR327737 IVN327737 JFJ327737 JPF327737 JZB327737 KIX327737 KST327737 LCP327737 LML327737 LWH327737 MGD327737 MPZ327737 MZV327737 NJR327737 NTN327737 ODJ327737 ONF327737 OXB327737 PGX327737 PQT327737 QAP327737 QKL327737 QUH327737 RED327737 RNZ327737 RXV327737 SHR327737 SRN327737 TBJ327737 TLF327737 TVB327737 UEX327737 UOT327737 UYP327737 VIL327737 VSH327737 WCD327737 WLZ327737 WVV327737 N393273 JJ393273 TF393273 ADB393273 AMX393273 AWT393273 BGP393273 BQL393273 CAH393273 CKD393273 CTZ393273 DDV393273 DNR393273 DXN393273 EHJ393273 ERF393273 FBB393273 FKX393273 FUT393273 GEP393273 GOL393273 GYH393273 HID393273 HRZ393273 IBV393273 ILR393273 IVN393273 JFJ393273 JPF393273 JZB393273 KIX393273 KST393273 LCP393273 LML393273 LWH393273 MGD393273 MPZ393273 MZV393273 NJR393273 NTN393273 ODJ393273 ONF393273 OXB393273 PGX393273 PQT393273 QAP393273 QKL393273 QUH393273 RED393273 RNZ393273 RXV393273 SHR393273 SRN393273 TBJ393273 TLF393273 TVB393273 UEX393273 UOT393273 UYP393273 VIL393273 VSH393273 WCD393273 WLZ393273 WVV393273 N458809 JJ458809 TF458809 ADB458809 AMX458809 AWT458809 BGP458809 BQL458809 CAH458809 CKD458809 CTZ458809 DDV458809 DNR458809 DXN458809 EHJ458809 ERF458809 FBB458809 FKX458809 FUT458809 GEP458809 GOL458809 GYH458809 HID458809 HRZ458809 IBV458809 ILR458809 IVN458809 JFJ458809 JPF458809 JZB458809 KIX458809 KST458809 LCP458809 LML458809 LWH458809 MGD458809 MPZ458809 MZV458809 NJR458809 NTN458809 ODJ458809 ONF458809 OXB458809 PGX458809 PQT458809 QAP458809 QKL458809 QUH458809 RED458809 RNZ458809 RXV458809 SHR458809 SRN458809 TBJ458809 TLF458809 TVB458809 UEX458809 UOT458809 UYP458809 VIL458809 VSH458809 WCD458809 WLZ458809 WVV458809 N524345 JJ524345 TF524345 ADB524345 AMX524345 AWT524345 BGP524345 BQL524345 CAH524345 CKD524345 CTZ524345 DDV524345 DNR524345 DXN524345 EHJ524345 ERF524345 FBB524345 FKX524345 FUT524345 GEP524345 GOL524345 GYH524345 HID524345 HRZ524345 IBV524345 ILR524345 IVN524345 JFJ524345 JPF524345 JZB524345 KIX524345 KST524345 LCP524345 LML524345 LWH524345 MGD524345 MPZ524345 MZV524345 NJR524345 NTN524345 ODJ524345 ONF524345 OXB524345 PGX524345 PQT524345 QAP524345 QKL524345 QUH524345 RED524345 RNZ524345 RXV524345 SHR524345 SRN524345 TBJ524345 TLF524345 TVB524345 UEX524345 UOT524345 UYP524345 VIL524345 VSH524345 WCD524345 WLZ524345 WVV524345 N589881 JJ589881 TF589881 ADB589881 AMX589881 AWT589881 BGP589881 BQL589881 CAH589881 CKD589881 CTZ589881 DDV589881 DNR589881 DXN589881 EHJ589881 ERF589881 FBB589881 FKX589881 FUT589881 GEP589881 GOL589881 GYH589881 HID589881 HRZ589881 IBV589881 ILR589881 IVN589881 JFJ589881 JPF589881 JZB589881 KIX589881 KST589881 LCP589881 LML589881 LWH589881 MGD589881 MPZ589881 MZV589881 NJR589881 NTN589881 ODJ589881 ONF589881 OXB589881 PGX589881 PQT589881 QAP589881 QKL589881 QUH589881 RED589881 RNZ589881 RXV589881 SHR589881 SRN589881 TBJ589881 TLF589881 TVB589881 UEX589881 UOT589881 UYP589881 VIL589881 VSH589881 WCD589881 WLZ589881 WVV589881 N655417 JJ655417 TF655417 ADB655417 AMX655417 AWT655417 BGP655417 BQL655417 CAH655417 CKD655417 CTZ655417 DDV655417 DNR655417 DXN655417 EHJ655417 ERF655417 FBB655417 FKX655417 FUT655417 GEP655417 GOL655417 GYH655417 HID655417 HRZ655417 IBV655417 ILR655417 IVN655417 JFJ655417 JPF655417 JZB655417 KIX655417 KST655417 LCP655417 LML655417 LWH655417 MGD655417 MPZ655417 MZV655417 NJR655417 NTN655417 ODJ655417 ONF655417 OXB655417 PGX655417 PQT655417 QAP655417 QKL655417 QUH655417 RED655417 RNZ655417 RXV655417 SHR655417 SRN655417 TBJ655417 TLF655417 TVB655417 UEX655417 UOT655417 UYP655417 VIL655417 VSH655417 WCD655417 WLZ655417 WVV655417 N720953 JJ720953 TF720953 ADB720953 AMX720953 AWT720953 BGP720953 BQL720953 CAH720953 CKD720953 CTZ720953 DDV720953 DNR720953 DXN720953 EHJ720953 ERF720953 FBB720953 FKX720953 FUT720953 GEP720953 GOL720953 GYH720953 HID720953 HRZ720953 IBV720953 ILR720953 IVN720953 JFJ720953 JPF720953 JZB720953 KIX720953 KST720953 LCP720953 LML720953 LWH720953 MGD720953 MPZ720953 MZV720953 NJR720953 NTN720953 ODJ720953 ONF720953 OXB720953 PGX720953 PQT720953 QAP720953 QKL720953 QUH720953 RED720953 RNZ720953 RXV720953 SHR720953 SRN720953 TBJ720953 TLF720953 TVB720953 UEX720953 UOT720953 UYP720953 VIL720953 VSH720953 WCD720953 WLZ720953 WVV720953 N786489 JJ786489 TF786489 ADB786489 AMX786489 AWT786489 BGP786489 BQL786489 CAH786489 CKD786489 CTZ786489 DDV786489 DNR786489 DXN786489 EHJ786489 ERF786489 FBB786489 FKX786489 FUT786489 GEP786489 GOL786489 GYH786489 HID786489 HRZ786489 IBV786489 ILR786489 IVN786489 JFJ786489 JPF786489 JZB786489 KIX786489 KST786489 LCP786489 LML786489 LWH786489 MGD786489 MPZ786489 MZV786489 NJR786489 NTN786489 ODJ786489 ONF786489 OXB786489 PGX786489 PQT786489 QAP786489 QKL786489 QUH786489 RED786489 RNZ786489 RXV786489 SHR786489 SRN786489 TBJ786489 TLF786489 TVB786489 UEX786489 UOT786489 UYP786489 VIL786489 VSH786489 WCD786489 WLZ786489 WVV786489 N852025 JJ852025 TF852025 ADB852025 AMX852025 AWT852025 BGP852025 BQL852025 CAH852025 CKD852025 CTZ852025 DDV852025 DNR852025 DXN852025 EHJ852025 ERF852025 FBB852025 FKX852025 FUT852025 GEP852025 GOL852025 GYH852025 HID852025 HRZ852025 IBV852025 ILR852025 IVN852025 JFJ852025 JPF852025 JZB852025 KIX852025 KST852025 LCP852025 LML852025 LWH852025 MGD852025 MPZ852025 MZV852025 NJR852025 NTN852025 ODJ852025 ONF852025 OXB852025 PGX852025 PQT852025 QAP852025 QKL852025 QUH852025 RED852025 RNZ852025 RXV852025 SHR852025 SRN852025 TBJ852025 TLF852025 TVB852025 UEX852025 UOT852025 UYP852025 VIL852025 VSH852025 WCD852025 WLZ852025 WVV852025 N917561 JJ917561 TF917561 ADB917561 AMX917561 AWT917561 BGP917561 BQL917561 CAH917561 CKD917561 CTZ917561 DDV917561 DNR917561 DXN917561 EHJ917561 ERF917561 FBB917561 FKX917561 FUT917561 GEP917561 GOL917561 GYH917561 HID917561 HRZ917561 IBV917561 ILR917561 IVN917561 JFJ917561 JPF917561 JZB917561 KIX917561 KST917561 LCP917561 LML917561 LWH917561 MGD917561 MPZ917561 MZV917561 NJR917561 NTN917561 ODJ917561 ONF917561 OXB917561 PGX917561 PQT917561 QAP917561 QKL917561 QUH917561 RED917561 RNZ917561 RXV917561 SHR917561 SRN917561 TBJ917561 TLF917561 TVB917561 UEX917561 UOT917561 UYP917561 VIL917561 VSH917561 WCD917561 WLZ917561 WVV917561 N983097 JJ983097 TF983097 ADB983097 AMX983097 AWT983097 BGP983097 BQL983097 CAH983097 CKD983097 CTZ983097 DDV983097 DNR983097 DXN983097 EHJ983097 ERF983097 FBB983097 FKX983097 FUT983097 GEP983097 GOL983097 GYH983097 HID983097 HRZ983097 IBV983097 ILR983097 IVN983097 JFJ983097 JPF983097 JZB983097 KIX983097 KST983097 LCP983097 LML983097 LWH983097 MGD983097 MPZ983097 MZV983097 NJR983097 NTN983097 ODJ983097 ONF983097 OXB983097 PGX983097 PQT983097 QAP983097 QKL983097 QUH983097 RED983097 RNZ983097 RXV983097 SHR983097 SRN983097 TBJ983097 TLF983097 TVB983097 UEX983097 UOT983097 UYP983097 VIL983097 VSH983097 WCD983097 WLZ983097 WVV983097">
      <formula1>2</formula1>
      <formula2>M57</formula2>
    </dataValidation>
    <dataValidation type="list" allowBlank="1" showInputMessage="1" showErrorMessage="1" sqref="N59 JJ59 TF59 ADB59 AMX59 AWT59 BGP59 BQL59 CAH59 CKD59 CTZ59 DDV59 DNR59 DXN59 EHJ59 ERF59 FBB59 FKX59 FUT59 GEP59 GOL59 GYH59 HID59 HRZ59 IBV59 ILR59 IVN59 JFJ59 JPF59 JZB59 KIX59 KST59 LCP59 LML59 LWH59 MGD59 MPZ59 MZV59 NJR59 NTN59 ODJ59 ONF59 OXB59 PGX59 PQT59 QAP59 QKL59 QUH59 RED59 RNZ59 RXV59 SHR59 SRN59 TBJ59 TLF59 TVB59 UEX59 UOT59 UYP59 VIL59 VSH59 WCD59 WLZ59 WVV59 N61 JJ61 TF61 ADB61 AMX61 AWT61 BGP61 BQL61 CAH61 CKD61 CTZ61 DDV61 DNR61 DXN61 EHJ61 ERF61 FBB61 FKX61 FUT61 GEP61 GOL61 GYH61 HID61 HRZ61 IBV61 ILR61 IVN61 JFJ61 JPF61 JZB61 KIX61 KST61 LCP61 LML61 LWH61 MGD61 MPZ61 MZV61 NJR61 NTN61 ODJ61 ONF61 OXB61 PGX61 PQT61 QAP61 QKL61 QUH61 RED61 RNZ61 RXV61 SHR61 SRN61 TBJ61 TLF61 TVB61 UEX61 UOT61 UYP61 VIL61 VSH61 WCD61 WLZ61 WVV61 N65595 JJ65595 TF65595 ADB65595 AMX65595 AWT65595 BGP65595 BQL65595 CAH65595 CKD65595 CTZ65595 DDV65595 DNR65595 DXN65595 EHJ65595 ERF65595 FBB65595 FKX65595 FUT65595 GEP65595 GOL65595 GYH65595 HID65595 HRZ65595 IBV65595 ILR65595 IVN65595 JFJ65595 JPF65595 JZB65595 KIX65595 KST65595 LCP65595 LML65595 LWH65595 MGD65595 MPZ65595 MZV65595 NJR65595 NTN65595 ODJ65595 ONF65595 OXB65595 PGX65595 PQT65595 QAP65595 QKL65595 QUH65595 RED65595 RNZ65595 RXV65595 SHR65595 SRN65595 TBJ65595 TLF65595 TVB65595 UEX65595 UOT65595 UYP65595 VIL65595 VSH65595 WCD65595 WLZ65595 WVV65595 N65597 JJ65597 TF65597 ADB65597 AMX65597 AWT65597 BGP65597 BQL65597 CAH65597 CKD65597 CTZ65597 DDV65597 DNR65597 DXN65597 EHJ65597 ERF65597 FBB65597 FKX65597 FUT65597 GEP65597 GOL65597 GYH65597 HID65597 HRZ65597 IBV65597 ILR65597 IVN65597 JFJ65597 JPF65597 JZB65597 KIX65597 KST65597 LCP65597 LML65597 LWH65597 MGD65597 MPZ65597 MZV65597 NJR65597 NTN65597 ODJ65597 ONF65597 OXB65597 PGX65597 PQT65597 QAP65597 QKL65597 QUH65597 RED65597 RNZ65597 RXV65597 SHR65597 SRN65597 TBJ65597 TLF65597 TVB65597 UEX65597 UOT65597 UYP65597 VIL65597 VSH65597 WCD65597 WLZ65597 WVV65597 N131131 JJ131131 TF131131 ADB131131 AMX131131 AWT131131 BGP131131 BQL131131 CAH131131 CKD131131 CTZ131131 DDV131131 DNR131131 DXN131131 EHJ131131 ERF131131 FBB131131 FKX131131 FUT131131 GEP131131 GOL131131 GYH131131 HID131131 HRZ131131 IBV131131 ILR131131 IVN131131 JFJ131131 JPF131131 JZB131131 KIX131131 KST131131 LCP131131 LML131131 LWH131131 MGD131131 MPZ131131 MZV131131 NJR131131 NTN131131 ODJ131131 ONF131131 OXB131131 PGX131131 PQT131131 QAP131131 QKL131131 QUH131131 RED131131 RNZ131131 RXV131131 SHR131131 SRN131131 TBJ131131 TLF131131 TVB131131 UEX131131 UOT131131 UYP131131 VIL131131 VSH131131 WCD131131 WLZ131131 WVV131131 N131133 JJ131133 TF131133 ADB131133 AMX131133 AWT131133 BGP131133 BQL131133 CAH131133 CKD131133 CTZ131133 DDV131133 DNR131133 DXN131133 EHJ131133 ERF131133 FBB131133 FKX131133 FUT131133 GEP131133 GOL131133 GYH131133 HID131133 HRZ131133 IBV131133 ILR131133 IVN131133 JFJ131133 JPF131133 JZB131133 KIX131133 KST131133 LCP131133 LML131133 LWH131133 MGD131133 MPZ131133 MZV131133 NJR131133 NTN131133 ODJ131133 ONF131133 OXB131133 PGX131133 PQT131133 QAP131133 QKL131133 QUH131133 RED131133 RNZ131133 RXV131133 SHR131133 SRN131133 TBJ131133 TLF131133 TVB131133 UEX131133 UOT131133 UYP131133 VIL131133 VSH131133 WCD131133 WLZ131133 WVV131133 N196667 JJ196667 TF196667 ADB196667 AMX196667 AWT196667 BGP196667 BQL196667 CAH196667 CKD196667 CTZ196667 DDV196667 DNR196667 DXN196667 EHJ196667 ERF196667 FBB196667 FKX196667 FUT196667 GEP196667 GOL196667 GYH196667 HID196667 HRZ196667 IBV196667 ILR196667 IVN196667 JFJ196667 JPF196667 JZB196667 KIX196667 KST196667 LCP196667 LML196667 LWH196667 MGD196667 MPZ196667 MZV196667 NJR196667 NTN196667 ODJ196667 ONF196667 OXB196667 PGX196667 PQT196667 QAP196667 QKL196667 QUH196667 RED196667 RNZ196667 RXV196667 SHR196667 SRN196667 TBJ196667 TLF196667 TVB196667 UEX196667 UOT196667 UYP196667 VIL196667 VSH196667 WCD196667 WLZ196667 WVV196667 N196669 JJ196669 TF196669 ADB196669 AMX196669 AWT196669 BGP196669 BQL196669 CAH196669 CKD196669 CTZ196669 DDV196669 DNR196669 DXN196669 EHJ196669 ERF196669 FBB196669 FKX196669 FUT196669 GEP196669 GOL196669 GYH196669 HID196669 HRZ196669 IBV196669 ILR196669 IVN196669 JFJ196669 JPF196669 JZB196669 KIX196669 KST196669 LCP196669 LML196669 LWH196669 MGD196669 MPZ196669 MZV196669 NJR196669 NTN196669 ODJ196669 ONF196669 OXB196669 PGX196669 PQT196669 QAP196669 QKL196669 QUH196669 RED196669 RNZ196669 RXV196669 SHR196669 SRN196669 TBJ196669 TLF196669 TVB196669 UEX196669 UOT196669 UYP196669 VIL196669 VSH196669 WCD196669 WLZ196669 WVV196669 N262203 JJ262203 TF262203 ADB262203 AMX262203 AWT262203 BGP262203 BQL262203 CAH262203 CKD262203 CTZ262203 DDV262203 DNR262203 DXN262203 EHJ262203 ERF262203 FBB262203 FKX262203 FUT262203 GEP262203 GOL262203 GYH262203 HID262203 HRZ262203 IBV262203 ILR262203 IVN262203 JFJ262203 JPF262203 JZB262203 KIX262203 KST262203 LCP262203 LML262203 LWH262203 MGD262203 MPZ262203 MZV262203 NJR262203 NTN262203 ODJ262203 ONF262203 OXB262203 PGX262203 PQT262203 QAP262203 QKL262203 QUH262203 RED262203 RNZ262203 RXV262203 SHR262203 SRN262203 TBJ262203 TLF262203 TVB262203 UEX262203 UOT262203 UYP262203 VIL262203 VSH262203 WCD262203 WLZ262203 WVV262203 N262205 JJ262205 TF262205 ADB262205 AMX262205 AWT262205 BGP262205 BQL262205 CAH262205 CKD262205 CTZ262205 DDV262205 DNR262205 DXN262205 EHJ262205 ERF262205 FBB262205 FKX262205 FUT262205 GEP262205 GOL262205 GYH262205 HID262205 HRZ262205 IBV262205 ILR262205 IVN262205 JFJ262205 JPF262205 JZB262205 KIX262205 KST262205 LCP262205 LML262205 LWH262205 MGD262205 MPZ262205 MZV262205 NJR262205 NTN262205 ODJ262205 ONF262205 OXB262205 PGX262205 PQT262205 QAP262205 QKL262205 QUH262205 RED262205 RNZ262205 RXV262205 SHR262205 SRN262205 TBJ262205 TLF262205 TVB262205 UEX262205 UOT262205 UYP262205 VIL262205 VSH262205 WCD262205 WLZ262205 WVV262205 N327739 JJ327739 TF327739 ADB327739 AMX327739 AWT327739 BGP327739 BQL327739 CAH327739 CKD327739 CTZ327739 DDV327739 DNR327739 DXN327739 EHJ327739 ERF327739 FBB327739 FKX327739 FUT327739 GEP327739 GOL327739 GYH327739 HID327739 HRZ327739 IBV327739 ILR327739 IVN327739 JFJ327739 JPF327739 JZB327739 KIX327739 KST327739 LCP327739 LML327739 LWH327739 MGD327739 MPZ327739 MZV327739 NJR327739 NTN327739 ODJ327739 ONF327739 OXB327739 PGX327739 PQT327739 QAP327739 QKL327739 QUH327739 RED327739 RNZ327739 RXV327739 SHR327739 SRN327739 TBJ327739 TLF327739 TVB327739 UEX327739 UOT327739 UYP327739 VIL327739 VSH327739 WCD327739 WLZ327739 WVV327739 N327741 JJ327741 TF327741 ADB327741 AMX327741 AWT327741 BGP327741 BQL327741 CAH327741 CKD327741 CTZ327741 DDV327741 DNR327741 DXN327741 EHJ327741 ERF327741 FBB327741 FKX327741 FUT327741 GEP327741 GOL327741 GYH327741 HID327741 HRZ327741 IBV327741 ILR327741 IVN327741 JFJ327741 JPF327741 JZB327741 KIX327741 KST327741 LCP327741 LML327741 LWH327741 MGD327741 MPZ327741 MZV327741 NJR327741 NTN327741 ODJ327741 ONF327741 OXB327741 PGX327741 PQT327741 QAP327741 QKL327741 QUH327741 RED327741 RNZ327741 RXV327741 SHR327741 SRN327741 TBJ327741 TLF327741 TVB327741 UEX327741 UOT327741 UYP327741 VIL327741 VSH327741 WCD327741 WLZ327741 WVV327741 N393275 JJ393275 TF393275 ADB393275 AMX393275 AWT393275 BGP393275 BQL393275 CAH393275 CKD393275 CTZ393275 DDV393275 DNR393275 DXN393275 EHJ393275 ERF393275 FBB393275 FKX393275 FUT393275 GEP393275 GOL393275 GYH393275 HID393275 HRZ393275 IBV393275 ILR393275 IVN393275 JFJ393275 JPF393275 JZB393275 KIX393275 KST393275 LCP393275 LML393275 LWH393275 MGD393275 MPZ393275 MZV393275 NJR393275 NTN393275 ODJ393275 ONF393275 OXB393275 PGX393275 PQT393275 QAP393275 QKL393275 QUH393275 RED393275 RNZ393275 RXV393275 SHR393275 SRN393275 TBJ393275 TLF393275 TVB393275 UEX393275 UOT393275 UYP393275 VIL393275 VSH393275 WCD393275 WLZ393275 WVV393275 N393277 JJ393277 TF393277 ADB393277 AMX393277 AWT393277 BGP393277 BQL393277 CAH393277 CKD393277 CTZ393277 DDV393277 DNR393277 DXN393277 EHJ393277 ERF393277 FBB393277 FKX393277 FUT393277 GEP393277 GOL393277 GYH393277 HID393277 HRZ393277 IBV393277 ILR393277 IVN393277 JFJ393277 JPF393277 JZB393277 KIX393277 KST393277 LCP393277 LML393277 LWH393277 MGD393277 MPZ393277 MZV393277 NJR393277 NTN393277 ODJ393277 ONF393277 OXB393277 PGX393277 PQT393277 QAP393277 QKL393277 QUH393277 RED393277 RNZ393277 RXV393277 SHR393277 SRN393277 TBJ393277 TLF393277 TVB393277 UEX393277 UOT393277 UYP393277 VIL393277 VSH393277 WCD393277 WLZ393277 WVV393277 N458811 JJ458811 TF458811 ADB458811 AMX458811 AWT458811 BGP458811 BQL458811 CAH458811 CKD458811 CTZ458811 DDV458811 DNR458811 DXN458811 EHJ458811 ERF458811 FBB458811 FKX458811 FUT458811 GEP458811 GOL458811 GYH458811 HID458811 HRZ458811 IBV458811 ILR458811 IVN458811 JFJ458811 JPF458811 JZB458811 KIX458811 KST458811 LCP458811 LML458811 LWH458811 MGD458811 MPZ458811 MZV458811 NJR458811 NTN458811 ODJ458811 ONF458811 OXB458811 PGX458811 PQT458811 QAP458811 QKL458811 QUH458811 RED458811 RNZ458811 RXV458811 SHR458811 SRN458811 TBJ458811 TLF458811 TVB458811 UEX458811 UOT458811 UYP458811 VIL458811 VSH458811 WCD458811 WLZ458811 WVV458811 N458813 JJ458813 TF458813 ADB458813 AMX458813 AWT458813 BGP458813 BQL458813 CAH458813 CKD458813 CTZ458813 DDV458813 DNR458813 DXN458813 EHJ458813 ERF458813 FBB458813 FKX458813 FUT458813 GEP458813 GOL458813 GYH458813 HID458813 HRZ458813 IBV458813 ILR458813 IVN458813 JFJ458813 JPF458813 JZB458813 KIX458813 KST458813 LCP458813 LML458813 LWH458813 MGD458813 MPZ458813 MZV458813 NJR458813 NTN458813 ODJ458813 ONF458813 OXB458813 PGX458813 PQT458813 QAP458813 QKL458813 QUH458813 RED458813 RNZ458813 RXV458813 SHR458813 SRN458813 TBJ458813 TLF458813 TVB458813 UEX458813 UOT458813 UYP458813 VIL458813 VSH458813 WCD458813 WLZ458813 WVV458813 N524347 JJ524347 TF524347 ADB524347 AMX524347 AWT524347 BGP524347 BQL524347 CAH524347 CKD524347 CTZ524347 DDV524347 DNR524347 DXN524347 EHJ524347 ERF524347 FBB524347 FKX524347 FUT524347 GEP524347 GOL524347 GYH524347 HID524347 HRZ524347 IBV524347 ILR524347 IVN524347 JFJ524347 JPF524347 JZB524347 KIX524347 KST524347 LCP524347 LML524347 LWH524347 MGD524347 MPZ524347 MZV524347 NJR524347 NTN524347 ODJ524347 ONF524347 OXB524347 PGX524347 PQT524347 QAP524347 QKL524347 QUH524347 RED524347 RNZ524347 RXV524347 SHR524347 SRN524347 TBJ524347 TLF524347 TVB524347 UEX524347 UOT524347 UYP524347 VIL524347 VSH524347 WCD524347 WLZ524347 WVV524347 N524349 JJ524349 TF524349 ADB524349 AMX524349 AWT524349 BGP524349 BQL524349 CAH524349 CKD524349 CTZ524349 DDV524349 DNR524349 DXN524349 EHJ524349 ERF524349 FBB524349 FKX524349 FUT524349 GEP524349 GOL524349 GYH524349 HID524349 HRZ524349 IBV524349 ILR524349 IVN524349 JFJ524349 JPF524349 JZB524349 KIX524349 KST524349 LCP524349 LML524349 LWH524349 MGD524349 MPZ524349 MZV524349 NJR524349 NTN524349 ODJ524349 ONF524349 OXB524349 PGX524349 PQT524349 QAP524349 QKL524349 QUH524349 RED524349 RNZ524349 RXV524349 SHR524349 SRN524349 TBJ524349 TLF524349 TVB524349 UEX524349 UOT524349 UYP524349 VIL524349 VSH524349 WCD524349 WLZ524349 WVV524349 N589883 JJ589883 TF589883 ADB589883 AMX589883 AWT589883 BGP589883 BQL589883 CAH589883 CKD589883 CTZ589883 DDV589883 DNR589883 DXN589883 EHJ589883 ERF589883 FBB589883 FKX589883 FUT589883 GEP589883 GOL589883 GYH589883 HID589883 HRZ589883 IBV589883 ILR589883 IVN589883 JFJ589883 JPF589883 JZB589883 KIX589883 KST589883 LCP589883 LML589883 LWH589883 MGD589883 MPZ589883 MZV589883 NJR589883 NTN589883 ODJ589883 ONF589883 OXB589883 PGX589883 PQT589883 QAP589883 QKL589883 QUH589883 RED589883 RNZ589883 RXV589883 SHR589883 SRN589883 TBJ589883 TLF589883 TVB589883 UEX589883 UOT589883 UYP589883 VIL589883 VSH589883 WCD589883 WLZ589883 WVV589883 N589885 JJ589885 TF589885 ADB589885 AMX589885 AWT589885 BGP589885 BQL589885 CAH589885 CKD589885 CTZ589885 DDV589885 DNR589885 DXN589885 EHJ589885 ERF589885 FBB589885 FKX589885 FUT589885 GEP589885 GOL589885 GYH589885 HID589885 HRZ589885 IBV589885 ILR589885 IVN589885 JFJ589885 JPF589885 JZB589885 KIX589885 KST589885 LCP589885 LML589885 LWH589885 MGD589885 MPZ589885 MZV589885 NJR589885 NTN589885 ODJ589885 ONF589885 OXB589885 PGX589885 PQT589885 QAP589885 QKL589885 QUH589885 RED589885 RNZ589885 RXV589885 SHR589885 SRN589885 TBJ589885 TLF589885 TVB589885 UEX589885 UOT589885 UYP589885 VIL589885 VSH589885 WCD589885 WLZ589885 WVV589885 N655419 JJ655419 TF655419 ADB655419 AMX655419 AWT655419 BGP655419 BQL655419 CAH655419 CKD655419 CTZ655419 DDV655419 DNR655419 DXN655419 EHJ655419 ERF655419 FBB655419 FKX655419 FUT655419 GEP655419 GOL655419 GYH655419 HID655419 HRZ655419 IBV655419 ILR655419 IVN655419 JFJ655419 JPF655419 JZB655419 KIX655419 KST655419 LCP655419 LML655419 LWH655419 MGD655419 MPZ655419 MZV655419 NJR655419 NTN655419 ODJ655419 ONF655419 OXB655419 PGX655419 PQT655419 QAP655419 QKL655419 QUH655419 RED655419 RNZ655419 RXV655419 SHR655419 SRN655419 TBJ655419 TLF655419 TVB655419 UEX655419 UOT655419 UYP655419 VIL655419 VSH655419 WCD655419 WLZ655419 WVV655419 N655421 JJ655421 TF655421 ADB655421 AMX655421 AWT655421 BGP655421 BQL655421 CAH655421 CKD655421 CTZ655421 DDV655421 DNR655421 DXN655421 EHJ655421 ERF655421 FBB655421 FKX655421 FUT655421 GEP655421 GOL655421 GYH655421 HID655421 HRZ655421 IBV655421 ILR655421 IVN655421 JFJ655421 JPF655421 JZB655421 KIX655421 KST655421 LCP655421 LML655421 LWH655421 MGD655421 MPZ655421 MZV655421 NJR655421 NTN655421 ODJ655421 ONF655421 OXB655421 PGX655421 PQT655421 QAP655421 QKL655421 QUH655421 RED655421 RNZ655421 RXV655421 SHR655421 SRN655421 TBJ655421 TLF655421 TVB655421 UEX655421 UOT655421 UYP655421 VIL655421 VSH655421 WCD655421 WLZ655421 WVV655421 N720955 JJ720955 TF720955 ADB720955 AMX720955 AWT720955 BGP720955 BQL720955 CAH720955 CKD720955 CTZ720955 DDV720955 DNR720955 DXN720955 EHJ720955 ERF720955 FBB720955 FKX720955 FUT720955 GEP720955 GOL720955 GYH720955 HID720955 HRZ720955 IBV720955 ILR720955 IVN720955 JFJ720955 JPF720955 JZB720955 KIX720955 KST720955 LCP720955 LML720955 LWH720955 MGD720955 MPZ720955 MZV720955 NJR720955 NTN720955 ODJ720955 ONF720955 OXB720955 PGX720955 PQT720955 QAP720955 QKL720955 QUH720955 RED720955 RNZ720955 RXV720955 SHR720955 SRN720955 TBJ720955 TLF720955 TVB720955 UEX720955 UOT720955 UYP720955 VIL720955 VSH720955 WCD720955 WLZ720955 WVV720955 N720957 JJ720957 TF720957 ADB720957 AMX720957 AWT720957 BGP720957 BQL720957 CAH720957 CKD720957 CTZ720957 DDV720957 DNR720957 DXN720957 EHJ720957 ERF720957 FBB720957 FKX720957 FUT720957 GEP720957 GOL720957 GYH720957 HID720957 HRZ720957 IBV720957 ILR720957 IVN720957 JFJ720957 JPF720957 JZB720957 KIX720957 KST720957 LCP720957 LML720957 LWH720957 MGD720957 MPZ720957 MZV720957 NJR720957 NTN720957 ODJ720957 ONF720957 OXB720957 PGX720957 PQT720957 QAP720957 QKL720957 QUH720957 RED720957 RNZ720957 RXV720957 SHR720957 SRN720957 TBJ720957 TLF720957 TVB720957 UEX720957 UOT720957 UYP720957 VIL720957 VSH720957 WCD720957 WLZ720957 WVV720957 N786491 JJ786491 TF786491 ADB786491 AMX786491 AWT786491 BGP786491 BQL786491 CAH786491 CKD786491 CTZ786491 DDV786491 DNR786491 DXN786491 EHJ786491 ERF786491 FBB786491 FKX786491 FUT786491 GEP786491 GOL786491 GYH786491 HID786491 HRZ786491 IBV786491 ILR786491 IVN786491 JFJ786491 JPF786491 JZB786491 KIX786491 KST786491 LCP786491 LML786491 LWH786491 MGD786491 MPZ786491 MZV786491 NJR786491 NTN786491 ODJ786491 ONF786491 OXB786491 PGX786491 PQT786491 QAP786491 QKL786491 QUH786491 RED786491 RNZ786491 RXV786491 SHR786491 SRN786491 TBJ786491 TLF786491 TVB786491 UEX786491 UOT786491 UYP786491 VIL786491 VSH786491 WCD786491 WLZ786491 WVV786491 N786493 JJ786493 TF786493 ADB786493 AMX786493 AWT786493 BGP786493 BQL786493 CAH786493 CKD786493 CTZ786493 DDV786493 DNR786493 DXN786493 EHJ786493 ERF786493 FBB786493 FKX786493 FUT786493 GEP786493 GOL786493 GYH786493 HID786493 HRZ786493 IBV786493 ILR786493 IVN786493 JFJ786493 JPF786493 JZB786493 KIX786493 KST786493 LCP786493 LML786493 LWH786493 MGD786493 MPZ786493 MZV786493 NJR786493 NTN786493 ODJ786493 ONF786493 OXB786493 PGX786493 PQT786493 QAP786493 QKL786493 QUH786493 RED786493 RNZ786493 RXV786493 SHR786493 SRN786493 TBJ786493 TLF786493 TVB786493 UEX786493 UOT786493 UYP786493 VIL786493 VSH786493 WCD786493 WLZ786493 WVV786493 N852027 JJ852027 TF852027 ADB852027 AMX852027 AWT852027 BGP852027 BQL852027 CAH852027 CKD852027 CTZ852027 DDV852027 DNR852027 DXN852027 EHJ852027 ERF852027 FBB852027 FKX852027 FUT852027 GEP852027 GOL852027 GYH852027 HID852027 HRZ852027 IBV852027 ILR852027 IVN852027 JFJ852027 JPF852027 JZB852027 KIX852027 KST852027 LCP852027 LML852027 LWH852027 MGD852027 MPZ852027 MZV852027 NJR852027 NTN852027 ODJ852027 ONF852027 OXB852027 PGX852027 PQT852027 QAP852027 QKL852027 QUH852027 RED852027 RNZ852027 RXV852027 SHR852027 SRN852027 TBJ852027 TLF852027 TVB852027 UEX852027 UOT852027 UYP852027 VIL852027 VSH852027 WCD852027 WLZ852027 WVV852027 N852029 JJ852029 TF852029 ADB852029 AMX852029 AWT852029 BGP852029 BQL852029 CAH852029 CKD852029 CTZ852029 DDV852029 DNR852029 DXN852029 EHJ852029 ERF852029 FBB852029 FKX852029 FUT852029 GEP852029 GOL852029 GYH852029 HID852029 HRZ852029 IBV852029 ILR852029 IVN852029 JFJ852029 JPF852029 JZB852029 KIX852029 KST852029 LCP852029 LML852029 LWH852029 MGD852029 MPZ852029 MZV852029 NJR852029 NTN852029 ODJ852029 ONF852029 OXB852029 PGX852029 PQT852029 QAP852029 QKL852029 QUH852029 RED852029 RNZ852029 RXV852029 SHR852029 SRN852029 TBJ852029 TLF852029 TVB852029 UEX852029 UOT852029 UYP852029 VIL852029 VSH852029 WCD852029 WLZ852029 WVV852029 N917563 JJ917563 TF917563 ADB917563 AMX917563 AWT917563 BGP917563 BQL917563 CAH917563 CKD917563 CTZ917563 DDV917563 DNR917563 DXN917563 EHJ917563 ERF917563 FBB917563 FKX917563 FUT917563 GEP917563 GOL917563 GYH917563 HID917563 HRZ917563 IBV917563 ILR917563 IVN917563 JFJ917563 JPF917563 JZB917563 KIX917563 KST917563 LCP917563 LML917563 LWH917563 MGD917563 MPZ917563 MZV917563 NJR917563 NTN917563 ODJ917563 ONF917563 OXB917563 PGX917563 PQT917563 QAP917563 QKL917563 QUH917563 RED917563 RNZ917563 RXV917563 SHR917563 SRN917563 TBJ917563 TLF917563 TVB917563 UEX917563 UOT917563 UYP917563 VIL917563 VSH917563 WCD917563 WLZ917563 WVV917563 N917565 JJ917565 TF917565 ADB917565 AMX917565 AWT917565 BGP917565 BQL917565 CAH917565 CKD917565 CTZ917565 DDV917565 DNR917565 DXN917565 EHJ917565 ERF917565 FBB917565 FKX917565 FUT917565 GEP917565 GOL917565 GYH917565 HID917565 HRZ917565 IBV917565 ILR917565 IVN917565 JFJ917565 JPF917565 JZB917565 KIX917565 KST917565 LCP917565 LML917565 LWH917565 MGD917565 MPZ917565 MZV917565 NJR917565 NTN917565 ODJ917565 ONF917565 OXB917565 PGX917565 PQT917565 QAP917565 QKL917565 QUH917565 RED917565 RNZ917565 RXV917565 SHR917565 SRN917565 TBJ917565 TLF917565 TVB917565 UEX917565 UOT917565 UYP917565 VIL917565 VSH917565 WCD917565 WLZ917565 WVV917565 N983099 JJ983099 TF983099 ADB983099 AMX983099 AWT983099 BGP983099 BQL983099 CAH983099 CKD983099 CTZ983099 DDV983099 DNR983099 DXN983099 EHJ983099 ERF983099 FBB983099 FKX983099 FUT983099 GEP983099 GOL983099 GYH983099 HID983099 HRZ983099 IBV983099 ILR983099 IVN983099 JFJ983099 JPF983099 JZB983099 KIX983099 KST983099 LCP983099 LML983099 LWH983099 MGD983099 MPZ983099 MZV983099 NJR983099 NTN983099 ODJ983099 ONF983099 OXB983099 PGX983099 PQT983099 QAP983099 QKL983099 QUH983099 RED983099 RNZ983099 RXV983099 SHR983099 SRN983099 TBJ983099 TLF983099 TVB983099 UEX983099 UOT983099 UYP983099 VIL983099 VSH983099 WCD983099 WLZ983099 WVV983099 N983101 JJ983101 TF983101 ADB983101 AMX983101 AWT983101 BGP983101 BQL983101 CAH983101 CKD983101 CTZ983101 DDV983101 DNR983101 DXN983101 EHJ983101 ERF983101 FBB983101 FKX983101 FUT983101 GEP983101 GOL983101 GYH983101 HID983101 HRZ983101 IBV983101 ILR983101 IVN983101 JFJ983101 JPF983101 JZB983101 KIX983101 KST983101 LCP983101 LML983101 LWH983101 MGD983101 MPZ983101 MZV983101 NJR983101 NTN983101 ODJ983101 ONF983101 OXB983101 PGX983101 PQT983101 QAP983101 QKL983101 QUH983101 RED983101 RNZ983101 RXV983101 SHR983101 SRN983101 TBJ983101 TLF983101 TVB983101 UEX983101 UOT983101 UYP983101 VIL983101 VSH983101 WCD983101 WLZ983101 WVV983101 N49:N50 N65585:N65586 N131121:N131122 N196657:N196658 N262193:N262194 N327729:N327730 N393265:N393266 N458801:N458802 N524337:N524338 N589873:N589874 N655409:N655410 N720945:N720946 N786481:N786482 N852017:N852018 N917553:N917554 N983089:N983090 JJ49:JJ50 JJ65585:JJ65586 JJ131121:JJ131122 JJ196657:JJ196658 JJ262193:JJ262194 JJ327729:JJ327730 JJ393265:JJ393266 JJ458801:JJ458802 JJ524337:JJ524338 JJ589873:JJ589874 JJ655409:JJ655410 JJ720945:JJ720946 JJ786481:JJ786482 JJ852017:JJ852018 JJ917553:JJ917554 JJ983089:JJ983090 TF49:TF50 TF65585:TF65586 TF131121:TF131122 TF196657:TF196658 TF262193:TF262194 TF327729:TF327730 TF393265:TF393266 TF458801:TF458802 TF524337:TF524338 TF589873:TF589874 TF655409:TF655410 TF720945:TF720946 TF786481:TF786482 TF852017:TF852018 TF917553:TF917554 TF983089:TF983090 ADB49:ADB50 ADB65585:ADB65586 ADB131121:ADB131122 ADB196657:ADB196658 ADB262193:ADB262194 ADB327729:ADB327730 ADB393265:ADB393266 ADB458801:ADB458802 ADB524337:ADB524338 ADB589873:ADB589874 ADB655409:ADB655410 ADB720945:ADB720946 ADB786481:ADB786482 ADB852017:ADB852018 ADB917553:ADB917554 ADB983089:ADB983090 AMX49:AMX50 AMX65585:AMX65586 AMX131121:AMX131122 AMX196657:AMX196658 AMX262193:AMX262194 AMX327729:AMX327730 AMX393265:AMX393266 AMX458801:AMX458802 AMX524337:AMX524338 AMX589873:AMX589874 AMX655409:AMX655410 AMX720945:AMX720946 AMX786481:AMX786482 AMX852017:AMX852018 AMX917553:AMX917554 AMX983089:AMX983090 AWT49:AWT50 AWT65585:AWT65586 AWT131121:AWT131122 AWT196657:AWT196658 AWT262193:AWT262194 AWT327729:AWT327730 AWT393265:AWT393266 AWT458801:AWT458802 AWT524337:AWT524338 AWT589873:AWT589874 AWT655409:AWT655410 AWT720945:AWT720946 AWT786481:AWT786482 AWT852017:AWT852018 AWT917553:AWT917554 AWT983089:AWT983090 BGP49:BGP50 BGP65585:BGP65586 BGP131121:BGP131122 BGP196657:BGP196658 BGP262193:BGP262194 BGP327729:BGP327730 BGP393265:BGP393266 BGP458801:BGP458802 BGP524337:BGP524338 BGP589873:BGP589874 BGP655409:BGP655410 BGP720945:BGP720946 BGP786481:BGP786482 BGP852017:BGP852018 BGP917553:BGP917554 BGP983089:BGP983090 BQL49:BQL50 BQL65585:BQL65586 BQL131121:BQL131122 BQL196657:BQL196658 BQL262193:BQL262194 BQL327729:BQL327730 BQL393265:BQL393266 BQL458801:BQL458802 BQL524337:BQL524338 BQL589873:BQL589874 BQL655409:BQL655410 BQL720945:BQL720946 BQL786481:BQL786482 BQL852017:BQL852018 BQL917553:BQL917554 BQL983089:BQL983090 CAH49:CAH50 CAH65585:CAH65586 CAH131121:CAH131122 CAH196657:CAH196658 CAH262193:CAH262194 CAH327729:CAH327730 CAH393265:CAH393266 CAH458801:CAH458802 CAH524337:CAH524338 CAH589873:CAH589874 CAH655409:CAH655410 CAH720945:CAH720946 CAH786481:CAH786482 CAH852017:CAH852018 CAH917553:CAH917554 CAH983089:CAH983090 CKD49:CKD50 CKD65585:CKD65586 CKD131121:CKD131122 CKD196657:CKD196658 CKD262193:CKD262194 CKD327729:CKD327730 CKD393265:CKD393266 CKD458801:CKD458802 CKD524337:CKD524338 CKD589873:CKD589874 CKD655409:CKD655410 CKD720945:CKD720946 CKD786481:CKD786482 CKD852017:CKD852018 CKD917553:CKD917554 CKD983089:CKD983090 CTZ49:CTZ50 CTZ65585:CTZ65586 CTZ131121:CTZ131122 CTZ196657:CTZ196658 CTZ262193:CTZ262194 CTZ327729:CTZ327730 CTZ393265:CTZ393266 CTZ458801:CTZ458802 CTZ524337:CTZ524338 CTZ589873:CTZ589874 CTZ655409:CTZ655410 CTZ720945:CTZ720946 CTZ786481:CTZ786482 CTZ852017:CTZ852018 CTZ917553:CTZ917554 CTZ983089:CTZ983090 DDV49:DDV50 DDV65585:DDV65586 DDV131121:DDV131122 DDV196657:DDV196658 DDV262193:DDV262194 DDV327729:DDV327730 DDV393265:DDV393266 DDV458801:DDV458802 DDV524337:DDV524338 DDV589873:DDV589874 DDV655409:DDV655410 DDV720945:DDV720946 DDV786481:DDV786482 DDV852017:DDV852018 DDV917553:DDV917554 DDV983089:DDV983090 DNR49:DNR50 DNR65585:DNR65586 DNR131121:DNR131122 DNR196657:DNR196658 DNR262193:DNR262194 DNR327729:DNR327730 DNR393265:DNR393266 DNR458801:DNR458802 DNR524337:DNR524338 DNR589873:DNR589874 DNR655409:DNR655410 DNR720945:DNR720946 DNR786481:DNR786482 DNR852017:DNR852018 DNR917553:DNR917554 DNR983089:DNR983090 DXN49:DXN50 DXN65585:DXN65586 DXN131121:DXN131122 DXN196657:DXN196658 DXN262193:DXN262194 DXN327729:DXN327730 DXN393265:DXN393266 DXN458801:DXN458802 DXN524337:DXN524338 DXN589873:DXN589874 DXN655409:DXN655410 DXN720945:DXN720946 DXN786481:DXN786482 DXN852017:DXN852018 DXN917553:DXN917554 DXN983089:DXN983090 EHJ49:EHJ50 EHJ65585:EHJ65586 EHJ131121:EHJ131122 EHJ196657:EHJ196658 EHJ262193:EHJ262194 EHJ327729:EHJ327730 EHJ393265:EHJ393266 EHJ458801:EHJ458802 EHJ524337:EHJ524338 EHJ589873:EHJ589874 EHJ655409:EHJ655410 EHJ720945:EHJ720946 EHJ786481:EHJ786482 EHJ852017:EHJ852018 EHJ917553:EHJ917554 EHJ983089:EHJ983090 ERF49:ERF50 ERF65585:ERF65586 ERF131121:ERF131122 ERF196657:ERF196658 ERF262193:ERF262194 ERF327729:ERF327730 ERF393265:ERF393266 ERF458801:ERF458802 ERF524337:ERF524338 ERF589873:ERF589874 ERF655409:ERF655410 ERF720945:ERF720946 ERF786481:ERF786482 ERF852017:ERF852018 ERF917553:ERF917554 ERF983089:ERF983090 FBB49:FBB50 FBB65585:FBB65586 FBB131121:FBB131122 FBB196657:FBB196658 FBB262193:FBB262194 FBB327729:FBB327730 FBB393265:FBB393266 FBB458801:FBB458802 FBB524337:FBB524338 FBB589873:FBB589874 FBB655409:FBB655410 FBB720945:FBB720946 FBB786481:FBB786482 FBB852017:FBB852018 FBB917553:FBB917554 FBB983089:FBB983090 FKX49:FKX50 FKX65585:FKX65586 FKX131121:FKX131122 FKX196657:FKX196658 FKX262193:FKX262194 FKX327729:FKX327730 FKX393265:FKX393266 FKX458801:FKX458802 FKX524337:FKX524338 FKX589873:FKX589874 FKX655409:FKX655410 FKX720945:FKX720946 FKX786481:FKX786482 FKX852017:FKX852018 FKX917553:FKX917554 FKX983089:FKX983090 FUT49:FUT50 FUT65585:FUT65586 FUT131121:FUT131122 FUT196657:FUT196658 FUT262193:FUT262194 FUT327729:FUT327730 FUT393265:FUT393266 FUT458801:FUT458802 FUT524337:FUT524338 FUT589873:FUT589874 FUT655409:FUT655410 FUT720945:FUT720946 FUT786481:FUT786482 FUT852017:FUT852018 FUT917553:FUT917554 FUT983089:FUT983090 GEP49:GEP50 GEP65585:GEP65586 GEP131121:GEP131122 GEP196657:GEP196658 GEP262193:GEP262194 GEP327729:GEP327730 GEP393265:GEP393266 GEP458801:GEP458802 GEP524337:GEP524338 GEP589873:GEP589874 GEP655409:GEP655410 GEP720945:GEP720946 GEP786481:GEP786482 GEP852017:GEP852018 GEP917553:GEP917554 GEP983089:GEP983090 GOL49:GOL50 GOL65585:GOL65586 GOL131121:GOL131122 GOL196657:GOL196658 GOL262193:GOL262194 GOL327729:GOL327730 GOL393265:GOL393266 GOL458801:GOL458802 GOL524337:GOL524338 GOL589873:GOL589874 GOL655409:GOL655410 GOL720945:GOL720946 GOL786481:GOL786482 GOL852017:GOL852018 GOL917553:GOL917554 GOL983089:GOL983090 GYH49:GYH50 GYH65585:GYH65586 GYH131121:GYH131122 GYH196657:GYH196658 GYH262193:GYH262194 GYH327729:GYH327730 GYH393265:GYH393266 GYH458801:GYH458802 GYH524337:GYH524338 GYH589873:GYH589874 GYH655409:GYH655410 GYH720945:GYH720946 GYH786481:GYH786482 GYH852017:GYH852018 GYH917553:GYH917554 GYH983089:GYH983090 HID49:HID50 HID65585:HID65586 HID131121:HID131122 HID196657:HID196658 HID262193:HID262194 HID327729:HID327730 HID393265:HID393266 HID458801:HID458802 HID524337:HID524338 HID589873:HID589874 HID655409:HID655410 HID720945:HID720946 HID786481:HID786482 HID852017:HID852018 HID917553:HID917554 HID983089:HID983090 HRZ49:HRZ50 HRZ65585:HRZ65586 HRZ131121:HRZ131122 HRZ196657:HRZ196658 HRZ262193:HRZ262194 HRZ327729:HRZ327730 HRZ393265:HRZ393266 HRZ458801:HRZ458802 HRZ524337:HRZ524338 HRZ589873:HRZ589874 HRZ655409:HRZ655410 HRZ720945:HRZ720946 HRZ786481:HRZ786482 HRZ852017:HRZ852018 HRZ917553:HRZ917554 HRZ983089:HRZ983090 IBV49:IBV50 IBV65585:IBV65586 IBV131121:IBV131122 IBV196657:IBV196658 IBV262193:IBV262194 IBV327729:IBV327730 IBV393265:IBV393266 IBV458801:IBV458802 IBV524337:IBV524338 IBV589873:IBV589874 IBV655409:IBV655410 IBV720945:IBV720946 IBV786481:IBV786482 IBV852017:IBV852018 IBV917553:IBV917554 IBV983089:IBV983090 ILR49:ILR50 ILR65585:ILR65586 ILR131121:ILR131122 ILR196657:ILR196658 ILR262193:ILR262194 ILR327729:ILR327730 ILR393265:ILR393266 ILR458801:ILR458802 ILR524337:ILR524338 ILR589873:ILR589874 ILR655409:ILR655410 ILR720945:ILR720946 ILR786481:ILR786482 ILR852017:ILR852018 ILR917553:ILR917554 ILR983089:ILR983090 IVN49:IVN50 IVN65585:IVN65586 IVN131121:IVN131122 IVN196657:IVN196658 IVN262193:IVN262194 IVN327729:IVN327730 IVN393265:IVN393266 IVN458801:IVN458802 IVN524337:IVN524338 IVN589873:IVN589874 IVN655409:IVN655410 IVN720945:IVN720946 IVN786481:IVN786482 IVN852017:IVN852018 IVN917553:IVN917554 IVN983089:IVN983090 JFJ49:JFJ50 JFJ65585:JFJ65586 JFJ131121:JFJ131122 JFJ196657:JFJ196658 JFJ262193:JFJ262194 JFJ327729:JFJ327730 JFJ393265:JFJ393266 JFJ458801:JFJ458802 JFJ524337:JFJ524338 JFJ589873:JFJ589874 JFJ655409:JFJ655410 JFJ720945:JFJ720946 JFJ786481:JFJ786482 JFJ852017:JFJ852018 JFJ917553:JFJ917554 JFJ983089:JFJ983090 JPF49:JPF50 JPF65585:JPF65586 JPF131121:JPF131122 JPF196657:JPF196658 JPF262193:JPF262194 JPF327729:JPF327730 JPF393265:JPF393266 JPF458801:JPF458802 JPF524337:JPF524338 JPF589873:JPF589874 JPF655409:JPF655410 JPF720945:JPF720946 JPF786481:JPF786482 JPF852017:JPF852018 JPF917553:JPF917554 JPF983089:JPF983090 JZB49:JZB50 JZB65585:JZB65586 JZB131121:JZB131122 JZB196657:JZB196658 JZB262193:JZB262194 JZB327729:JZB327730 JZB393265:JZB393266 JZB458801:JZB458802 JZB524337:JZB524338 JZB589873:JZB589874 JZB655409:JZB655410 JZB720945:JZB720946 JZB786481:JZB786482 JZB852017:JZB852018 JZB917553:JZB917554 JZB983089:JZB983090 KIX49:KIX50 KIX65585:KIX65586 KIX131121:KIX131122 KIX196657:KIX196658 KIX262193:KIX262194 KIX327729:KIX327730 KIX393265:KIX393266 KIX458801:KIX458802 KIX524337:KIX524338 KIX589873:KIX589874 KIX655409:KIX655410 KIX720945:KIX720946 KIX786481:KIX786482 KIX852017:KIX852018 KIX917553:KIX917554 KIX983089:KIX983090 KST49:KST50 KST65585:KST65586 KST131121:KST131122 KST196657:KST196658 KST262193:KST262194 KST327729:KST327730 KST393265:KST393266 KST458801:KST458802 KST524337:KST524338 KST589873:KST589874 KST655409:KST655410 KST720945:KST720946 KST786481:KST786482 KST852017:KST852018 KST917553:KST917554 KST983089:KST983090 LCP49:LCP50 LCP65585:LCP65586 LCP131121:LCP131122 LCP196657:LCP196658 LCP262193:LCP262194 LCP327729:LCP327730 LCP393265:LCP393266 LCP458801:LCP458802 LCP524337:LCP524338 LCP589873:LCP589874 LCP655409:LCP655410 LCP720945:LCP720946 LCP786481:LCP786482 LCP852017:LCP852018 LCP917553:LCP917554 LCP983089:LCP983090 LML49:LML50 LML65585:LML65586 LML131121:LML131122 LML196657:LML196658 LML262193:LML262194 LML327729:LML327730 LML393265:LML393266 LML458801:LML458802 LML524337:LML524338 LML589873:LML589874 LML655409:LML655410 LML720945:LML720946 LML786481:LML786482 LML852017:LML852018 LML917553:LML917554 LML983089:LML983090 LWH49:LWH50 LWH65585:LWH65586 LWH131121:LWH131122 LWH196657:LWH196658 LWH262193:LWH262194 LWH327729:LWH327730 LWH393265:LWH393266 LWH458801:LWH458802 LWH524337:LWH524338 LWH589873:LWH589874 LWH655409:LWH655410 LWH720945:LWH720946 LWH786481:LWH786482 LWH852017:LWH852018 LWH917553:LWH917554 LWH983089:LWH983090 MGD49:MGD50 MGD65585:MGD65586 MGD131121:MGD131122 MGD196657:MGD196658 MGD262193:MGD262194 MGD327729:MGD327730 MGD393265:MGD393266 MGD458801:MGD458802 MGD524337:MGD524338 MGD589873:MGD589874 MGD655409:MGD655410 MGD720945:MGD720946 MGD786481:MGD786482 MGD852017:MGD852018 MGD917553:MGD917554 MGD983089:MGD983090 MPZ49:MPZ50 MPZ65585:MPZ65586 MPZ131121:MPZ131122 MPZ196657:MPZ196658 MPZ262193:MPZ262194 MPZ327729:MPZ327730 MPZ393265:MPZ393266 MPZ458801:MPZ458802 MPZ524337:MPZ524338 MPZ589873:MPZ589874 MPZ655409:MPZ655410 MPZ720945:MPZ720946 MPZ786481:MPZ786482 MPZ852017:MPZ852018 MPZ917553:MPZ917554 MPZ983089:MPZ983090 MZV49:MZV50 MZV65585:MZV65586 MZV131121:MZV131122 MZV196657:MZV196658 MZV262193:MZV262194 MZV327729:MZV327730 MZV393265:MZV393266 MZV458801:MZV458802 MZV524337:MZV524338 MZV589873:MZV589874 MZV655409:MZV655410 MZV720945:MZV720946 MZV786481:MZV786482 MZV852017:MZV852018 MZV917553:MZV917554 MZV983089:MZV983090 NJR49:NJR50 NJR65585:NJR65586 NJR131121:NJR131122 NJR196657:NJR196658 NJR262193:NJR262194 NJR327729:NJR327730 NJR393265:NJR393266 NJR458801:NJR458802 NJR524337:NJR524338 NJR589873:NJR589874 NJR655409:NJR655410 NJR720945:NJR720946 NJR786481:NJR786482 NJR852017:NJR852018 NJR917553:NJR917554 NJR983089:NJR983090 NTN49:NTN50 NTN65585:NTN65586 NTN131121:NTN131122 NTN196657:NTN196658 NTN262193:NTN262194 NTN327729:NTN327730 NTN393265:NTN393266 NTN458801:NTN458802 NTN524337:NTN524338 NTN589873:NTN589874 NTN655409:NTN655410 NTN720945:NTN720946 NTN786481:NTN786482 NTN852017:NTN852018 NTN917553:NTN917554 NTN983089:NTN983090 ODJ49:ODJ50 ODJ65585:ODJ65586 ODJ131121:ODJ131122 ODJ196657:ODJ196658 ODJ262193:ODJ262194 ODJ327729:ODJ327730 ODJ393265:ODJ393266 ODJ458801:ODJ458802 ODJ524337:ODJ524338 ODJ589873:ODJ589874 ODJ655409:ODJ655410 ODJ720945:ODJ720946 ODJ786481:ODJ786482 ODJ852017:ODJ852018 ODJ917553:ODJ917554 ODJ983089:ODJ983090 ONF49:ONF50 ONF65585:ONF65586 ONF131121:ONF131122 ONF196657:ONF196658 ONF262193:ONF262194 ONF327729:ONF327730 ONF393265:ONF393266 ONF458801:ONF458802 ONF524337:ONF524338 ONF589873:ONF589874 ONF655409:ONF655410 ONF720945:ONF720946 ONF786481:ONF786482 ONF852017:ONF852018 ONF917553:ONF917554 ONF983089:ONF983090 OXB49:OXB50 OXB65585:OXB65586 OXB131121:OXB131122 OXB196657:OXB196658 OXB262193:OXB262194 OXB327729:OXB327730 OXB393265:OXB393266 OXB458801:OXB458802 OXB524337:OXB524338 OXB589873:OXB589874 OXB655409:OXB655410 OXB720945:OXB720946 OXB786481:OXB786482 OXB852017:OXB852018 OXB917553:OXB917554 OXB983089:OXB983090 PGX49:PGX50 PGX65585:PGX65586 PGX131121:PGX131122 PGX196657:PGX196658 PGX262193:PGX262194 PGX327729:PGX327730 PGX393265:PGX393266 PGX458801:PGX458802 PGX524337:PGX524338 PGX589873:PGX589874 PGX655409:PGX655410 PGX720945:PGX720946 PGX786481:PGX786482 PGX852017:PGX852018 PGX917553:PGX917554 PGX983089:PGX983090 PQT49:PQT50 PQT65585:PQT65586 PQT131121:PQT131122 PQT196657:PQT196658 PQT262193:PQT262194 PQT327729:PQT327730 PQT393265:PQT393266 PQT458801:PQT458802 PQT524337:PQT524338 PQT589873:PQT589874 PQT655409:PQT655410 PQT720945:PQT720946 PQT786481:PQT786482 PQT852017:PQT852018 PQT917553:PQT917554 PQT983089:PQT983090 QAP49:QAP50 QAP65585:QAP65586 QAP131121:QAP131122 QAP196657:QAP196658 QAP262193:QAP262194 QAP327729:QAP327730 QAP393265:QAP393266 QAP458801:QAP458802 QAP524337:QAP524338 QAP589873:QAP589874 QAP655409:QAP655410 QAP720945:QAP720946 QAP786481:QAP786482 QAP852017:QAP852018 QAP917553:QAP917554 QAP983089:QAP983090 QKL49:QKL50 QKL65585:QKL65586 QKL131121:QKL131122 QKL196657:QKL196658 QKL262193:QKL262194 QKL327729:QKL327730 QKL393265:QKL393266 QKL458801:QKL458802 QKL524337:QKL524338 QKL589873:QKL589874 QKL655409:QKL655410 QKL720945:QKL720946 QKL786481:QKL786482 QKL852017:QKL852018 QKL917553:QKL917554 QKL983089:QKL983090 QUH49:QUH50 QUH65585:QUH65586 QUH131121:QUH131122 QUH196657:QUH196658 QUH262193:QUH262194 QUH327729:QUH327730 QUH393265:QUH393266 QUH458801:QUH458802 QUH524337:QUH524338 QUH589873:QUH589874 QUH655409:QUH655410 QUH720945:QUH720946 QUH786481:QUH786482 QUH852017:QUH852018 QUH917553:QUH917554 QUH983089:QUH983090 RED49:RED50 RED65585:RED65586 RED131121:RED131122 RED196657:RED196658 RED262193:RED262194 RED327729:RED327730 RED393265:RED393266 RED458801:RED458802 RED524337:RED524338 RED589873:RED589874 RED655409:RED655410 RED720945:RED720946 RED786481:RED786482 RED852017:RED852018 RED917553:RED917554 RED983089:RED983090 RNZ49:RNZ50 RNZ65585:RNZ65586 RNZ131121:RNZ131122 RNZ196657:RNZ196658 RNZ262193:RNZ262194 RNZ327729:RNZ327730 RNZ393265:RNZ393266 RNZ458801:RNZ458802 RNZ524337:RNZ524338 RNZ589873:RNZ589874 RNZ655409:RNZ655410 RNZ720945:RNZ720946 RNZ786481:RNZ786482 RNZ852017:RNZ852018 RNZ917553:RNZ917554 RNZ983089:RNZ983090 RXV49:RXV50 RXV65585:RXV65586 RXV131121:RXV131122 RXV196657:RXV196658 RXV262193:RXV262194 RXV327729:RXV327730 RXV393265:RXV393266 RXV458801:RXV458802 RXV524337:RXV524338 RXV589873:RXV589874 RXV655409:RXV655410 RXV720945:RXV720946 RXV786481:RXV786482 RXV852017:RXV852018 RXV917553:RXV917554 RXV983089:RXV983090 SHR49:SHR50 SHR65585:SHR65586 SHR131121:SHR131122 SHR196657:SHR196658 SHR262193:SHR262194 SHR327729:SHR327730 SHR393265:SHR393266 SHR458801:SHR458802 SHR524337:SHR524338 SHR589873:SHR589874 SHR655409:SHR655410 SHR720945:SHR720946 SHR786481:SHR786482 SHR852017:SHR852018 SHR917553:SHR917554 SHR983089:SHR983090 SRN49:SRN50 SRN65585:SRN65586 SRN131121:SRN131122 SRN196657:SRN196658 SRN262193:SRN262194 SRN327729:SRN327730 SRN393265:SRN393266 SRN458801:SRN458802 SRN524337:SRN524338 SRN589873:SRN589874 SRN655409:SRN655410 SRN720945:SRN720946 SRN786481:SRN786482 SRN852017:SRN852018 SRN917553:SRN917554 SRN983089:SRN983090 TBJ49:TBJ50 TBJ65585:TBJ65586 TBJ131121:TBJ131122 TBJ196657:TBJ196658 TBJ262193:TBJ262194 TBJ327729:TBJ327730 TBJ393265:TBJ393266 TBJ458801:TBJ458802 TBJ524337:TBJ524338 TBJ589873:TBJ589874 TBJ655409:TBJ655410 TBJ720945:TBJ720946 TBJ786481:TBJ786482 TBJ852017:TBJ852018 TBJ917553:TBJ917554 TBJ983089:TBJ983090 TLF49:TLF50 TLF65585:TLF65586 TLF131121:TLF131122 TLF196657:TLF196658 TLF262193:TLF262194 TLF327729:TLF327730 TLF393265:TLF393266 TLF458801:TLF458802 TLF524337:TLF524338 TLF589873:TLF589874 TLF655409:TLF655410 TLF720945:TLF720946 TLF786481:TLF786482 TLF852017:TLF852018 TLF917553:TLF917554 TLF983089:TLF983090 TVB49:TVB50 TVB65585:TVB65586 TVB131121:TVB131122 TVB196657:TVB196658 TVB262193:TVB262194 TVB327729:TVB327730 TVB393265:TVB393266 TVB458801:TVB458802 TVB524337:TVB524338 TVB589873:TVB589874 TVB655409:TVB655410 TVB720945:TVB720946 TVB786481:TVB786482 TVB852017:TVB852018 TVB917553:TVB917554 TVB983089:TVB983090 UEX49:UEX50 UEX65585:UEX65586 UEX131121:UEX131122 UEX196657:UEX196658 UEX262193:UEX262194 UEX327729:UEX327730 UEX393265:UEX393266 UEX458801:UEX458802 UEX524337:UEX524338 UEX589873:UEX589874 UEX655409:UEX655410 UEX720945:UEX720946 UEX786481:UEX786482 UEX852017:UEX852018 UEX917553:UEX917554 UEX983089:UEX983090 UOT49:UOT50 UOT65585:UOT65586 UOT131121:UOT131122 UOT196657:UOT196658 UOT262193:UOT262194 UOT327729:UOT327730 UOT393265:UOT393266 UOT458801:UOT458802 UOT524337:UOT524338 UOT589873:UOT589874 UOT655409:UOT655410 UOT720945:UOT720946 UOT786481:UOT786482 UOT852017:UOT852018 UOT917553:UOT917554 UOT983089:UOT983090 UYP49:UYP50 UYP65585:UYP65586 UYP131121:UYP131122 UYP196657:UYP196658 UYP262193:UYP262194 UYP327729:UYP327730 UYP393265:UYP393266 UYP458801:UYP458802 UYP524337:UYP524338 UYP589873:UYP589874 UYP655409:UYP655410 UYP720945:UYP720946 UYP786481:UYP786482 UYP852017:UYP852018 UYP917553:UYP917554 UYP983089:UYP983090 VIL49:VIL50 VIL65585:VIL65586 VIL131121:VIL131122 VIL196657:VIL196658 VIL262193:VIL262194 VIL327729:VIL327730 VIL393265:VIL393266 VIL458801:VIL458802 VIL524337:VIL524338 VIL589873:VIL589874 VIL655409:VIL655410 VIL720945:VIL720946 VIL786481:VIL786482 VIL852017:VIL852018 VIL917553:VIL917554 VIL983089:VIL983090 VSH49:VSH50 VSH65585:VSH65586 VSH131121:VSH131122 VSH196657:VSH196658 VSH262193:VSH262194 VSH327729:VSH327730 VSH393265:VSH393266 VSH458801:VSH458802 VSH524337:VSH524338 VSH589873:VSH589874 VSH655409:VSH655410 VSH720945:VSH720946 VSH786481:VSH786482 VSH852017:VSH852018 VSH917553:VSH917554 VSH983089:VSH983090 WCD49:WCD50 WCD65585:WCD65586 WCD131121:WCD131122 WCD196657:WCD196658 WCD262193:WCD262194 WCD327729:WCD327730 WCD393265:WCD393266 WCD458801:WCD458802 WCD524337:WCD524338 WCD589873:WCD589874 WCD655409:WCD655410 WCD720945:WCD720946 WCD786481:WCD786482 WCD852017:WCD852018 WCD917553:WCD917554 WCD983089:WCD983090 WLZ49:WLZ50 WLZ65585:WLZ65586 WLZ131121:WLZ131122 WLZ196657:WLZ196658 WLZ262193:WLZ262194 WLZ327729:WLZ327730 WLZ393265:WLZ393266 WLZ458801:WLZ458802 WLZ524337:WLZ524338 WLZ589873:WLZ589874 WLZ655409:WLZ655410 WLZ720945:WLZ720946 WLZ786481:WLZ786482 WLZ852017:WLZ852018 WLZ917553:WLZ917554 WLZ983089:WLZ983090 WVV49:WVV50 WVV65585:WVV65586 WVV131121:WVV131122 WVV196657:WVV196658 WVV262193:WVV262194 WVV327729:WVV327730 WVV393265:WVV393266 WVV458801:WVV458802 WVV524337:WVV524338 WVV589873:WVV589874 WVV655409:WVV655410 WVV720945:WVV720946 WVV786481:WVV786482 WVV852017:WVV852018 WVV917553:WVV917554 WVV983089:WVV983090">
      <formula1>"0,1"</formula1>
    </dataValidation>
    <dataValidation type="custom" allowBlank="1" showInputMessage="1" showErrorMessage="1" sqref="N64 JJ64 TF64 ADB64 AMX64 AWT64 BGP64 BQL64 CAH64 CKD64 CTZ64 DDV64 DNR64 DXN64 EHJ64 ERF64 FBB64 FKX64 FUT64 GEP64 GOL64 GYH64 HID64 HRZ64 IBV64 ILR64 IVN64 JFJ64 JPF64 JZB64 KIX64 KST64 LCP64 LML64 LWH64 MGD64 MPZ64 MZV64 NJR64 NTN64 ODJ64 ONF64 OXB64 PGX64 PQT64 QAP64 QKL64 QUH64 RED64 RNZ64 RXV64 SHR64 SRN64 TBJ64 TLF64 TVB64 UEX64 UOT64 UYP64 VIL64 VSH64 WCD64 WLZ64 WVV64 N65600 JJ65600 TF65600 ADB65600 AMX65600 AWT65600 BGP65600 BQL65600 CAH65600 CKD65600 CTZ65600 DDV65600 DNR65600 DXN65600 EHJ65600 ERF65600 FBB65600 FKX65600 FUT65600 GEP65600 GOL65600 GYH65600 HID65600 HRZ65600 IBV65600 ILR65600 IVN65600 JFJ65600 JPF65600 JZB65600 KIX65600 KST65600 LCP65600 LML65600 LWH65600 MGD65600 MPZ65600 MZV65600 NJR65600 NTN65600 ODJ65600 ONF65600 OXB65600 PGX65600 PQT65600 QAP65600 QKL65600 QUH65600 RED65600 RNZ65600 RXV65600 SHR65600 SRN65600 TBJ65600 TLF65600 TVB65600 UEX65600 UOT65600 UYP65600 VIL65600 VSH65600 WCD65600 WLZ65600 WVV65600 N131136 JJ131136 TF131136 ADB131136 AMX131136 AWT131136 BGP131136 BQL131136 CAH131136 CKD131136 CTZ131136 DDV131136 DNR131136 DXN131136 EHJ131136 ERF131136 FBB131136 FKX131136 FUT131136 GEP131136 GOL131136 GYH131136 HID131136 HRZ131136 IBV131136 ILR131136 IVN131136 JFJ131136 JPF131136 JZB131136 KIX131136 KST131136 LCP131136 LML131136 LWH131136 MGD131136 MPZ131136 MZV131136 NJR131136 NTN131136 ODJ131136 ONF131136 OXB131136 PGX131136 PQT131136 QAP131136 QKL131136 QUH131136 RED131136 RNZ131136 RXV131136 SHR131136 SRN131136 TBJ131136 TLF131136 TVB131136 UEX131136 UOT131136 UYP131136 VIL131136 VSH131136 WCD131136 WLZ131136 WVV131136 N196672 JJ196672 TF196672 ADB196672 AMX196672 AWT196672 BGP196672 BQL196672 CAH196672 CKD196672 CTZ196672 DDV196672 DNR196672 DXN196672 EHJ196672 ERF196672 FBB196672 FKX196672 FUT196672 GEP196672 GOL196672 GYH196672 HID196672 HRZ196672 IBV196672 ILR196672 IVN196672 JFJ196672 JPF196672 JZB196672 KIX196672 KST196672 LCP196672 LML196672 LWH196672 MGD196672 MPZ196672 MZV196672 NJR196672 NTN196672 ODJ196672 ONF196672 OXB196672 PGX196672 PQT196672 QAP196672 QKL196672 QUH196672 RED196672 RNZ196672 RXV196672 SHR196672 SRN196672 TBJ196672 TLF196672 TVB196672 UEX196672 UOT196672 UYP196672 VIL196672 VSH196672 WCD196672 WLZ196672 WVV196672 N262208 JJ262208 TF262208 ADB262208 AMX262208 AWT262208 BGP262208 BQL262208 CAH262208 CKD262208 CTZ262208 DDV262208 DNR262208 DXN262208 EHJ262208 ERF262208 FBB262208 FKX262208 FUT262208 GEP262208 GOL262208 GYH262208 HID262208 HRZ262208 IBV262208 ILR262208 IVN262208 JFJ262208 JPF262208 JZB262208 KIX262208 KST262208 LCP262208 LML262208 LWH262208 MGD262208 MPZ262208 MZV262208 NJR262208 NTN262208 ODJ262208 ONF262208 OXB262208 PGX262208 PQT262208 QAP262208 QKL262208 QUH262208 RED262208 RNZ262208 RXV262208 SHR262208 SRN262208 TBJ262208 TLF262208 TVB262208 UEX262208 UOT262208 UYP262208 VIL262208 VSH262208 WCD262208 WLZ262208 WVV262208 N327744 JJ327744 TF327744 ADB327744 AMX327744 AWT327744 BGP327744 BQL327744 CAH327744 CKD327744 CTZ327744 DDV327744 DNR327744 DXN327744 EHJ327744 ERF327744 FBB327744 FKX327744 FUT327744 GEP327744 GOL327744 GYH327744 HID327744 HRZ327744 IBV327744 ILR327744 IVN327744 JFJ327744 JPF327744 JZB327744 KIX327744 KST327744 LCP327744 LML327744 LWH327744 MGD327744 MPZ327744 MZV327744 NJR327744 NTN327744 ODJ327744 ONF327744 OXB327744 PGX327744 PQT327744 QAP327744 QKL327744 QUH327744 RED327744 RNZ327744 RXV327744 SHR327744 SRN327744 TBJ327744 TLF327744 TVB327744 UEX327744 UOT327744 UYP327744 VIL327744 VSH327744 WCD327744 WLZ327744 WVV327744 N393280 JJ393280 TF393280 ADB393280 AMX393280 AWT393280 BGP393280 BQL393280 CAH393280 CKD393280 CTZ393280 DDV393280 DNR393280 DXN393280 EHJ393280 ERF393280 FBB393280 FKX393280 FUT393280 GEP393280 GOL393280 GYH393280 HID393280 HRZ393280 IBV393280 ILR393280 IVN393280 JFJ393280 JPF393280 JZB393280 KIX393280 KST393280 LCP393280 LML393280 LWH393280 MGD393280 MPZ393280 MZV393280 NJR393280 NTN393280 ODJ393280 ONF393280 OXB393280 PGX393280 PQT393280 QAP393280 QKL393280 QUH393280 RED393280 RNZ393280 RXV393280 SHR393280 SRN393280 TBJ393280 TLF393280 TVB393280 UEX393280 UOT393280 UYP393280 VIL393280 VSH393280 WCD393280 WLZ393280 WVV393280 N458816 JJ458816 TF458816 ADB458816 AMX458816 AWT458816 BGP458816 BQL458816 CAH458816 CKD458816 CTZ458816 DDV458816 DNR458816 DXN458816 EHJ458816 ERF458816 FBB458816 FKX458816 FUT458816 GEP458816 GOL458816 GYH458816 HID458816 HRZ458816 IBV458816 ILR458816 IVN458816 JFJ458816 JPF458816 JZB458816 KIX458816 KST458816 LCP458816 LML458816 LWH458816 MGD458816 MPZ458816 MZV458816 NJR458816 NTN458816 ODJ458816 ONF458816 OXB458816 PGX458816 PQT458816 QAP458816 QKL458816 QUH458816 RED458816 RNZ458816 RXV458816 SHR458816 SRN458816 TBJ458816 TLF458816 TVB458816 UEX458816 UOT458816 UYP458816 VIL458816 VSH458816 WCD458816 WLZ458816 WVV458816 N524352 JJ524352 TF524352 ADB524352 AMX524352 AWT524352 BGP524352 BQL524352 CAH524352 CKD524352 CTZ524352 DDV524352 DNR524352 DXN524352 EHJ524352 ERF524352 FBB524352 FKX524352 FUT524352 GEP524352 GOL524352 GYH524352 HID524352 HRZ524352 IBV524352 ILR524352 IVN524352 JFJ524352 JPF524352 JZB524352 KIX524352 KST524352 LCP524352 LML524352 LWH524352 MGD524352 MPZ524352 MZV524352 NJR524352 NTN524352 ODJ524352 ONF524352 OXB524352 PGX524352 PQT524352 QAP524352 QKL524352 QUH524352 RED524352 RNZ524352 RXV524352 SHR524352 SRN524352 TBJ524352 TLF524352 TVB524352 UEX524352 UOT524352 UYP524352 VIL524352 VSH524352 WCD524352 WLZ524352 WVV524352 N589888 JJ589888 TF589888 ADB589888 AMX589888 AWT589888 BGP589888 BQL589888 CAH589888 CKD589888 CTZ589888 DDV589888 DNR589888 DXN589888 EHJ589888 ERF589888 FBB589888 FKX589888 FUT589888 GEP589888 GOL589888 GYH589888 HID589888 HRZ589888 IBV589888 ILR589888 IVN589888 JFJ589888 JPF589888 JZB589888 KIX589888 KST589888 LCP589888 LML589888 LWH589888 MGD589888 MPZ589888 MZV589888 NJR589888 NTN589888 ODJ589888 ONF589888 OXB589888 PGX589888 PQT589888 QAP589888 QKL589888 QUH589888 RED589888 RNZ589888 RXV589888 SHR589888 SRN589888 TBJ589888 TLF589888 TVB589888 UEX589888 UOT589888 UYP589888 VIL589888 VSH589888 WCD589888 WLZ589888 WVV589888 N655424 JJ655424 TF655424 ADB655424 AMX655424 AWT655424 BGP655424 BQL655424 CAH655424 CKD655424 CTZ655424 DDV655424 DNR655424 DXN655424 EHJ655424 ERF655424 FBB655424 FKX655424 FUT655424 GEP655424 GOL655424 GYH655424 HID655424 HRZ655424 IBV655424 ILR655424 IVN655424 JFJ655424 JPF655424 JZB655424 KIX655424 KST655424 LCP655424 LML655424 LWH655424 MGD655424 MPZ655424 MZV655424 NJR655424 NTN655424 ODJ655424 ONF655424 OXB655424 PGX655424 PQT655424 QAP655424 QKL655424 QUH655424 RED655424 RNZ655424 RXV655424 SHR655424 SRN655424 TBJ655424 TLF655424 TVB655424 UEX655424 UOT655424 UYP655424 VIL655424 VSH655424 WCD655424 WLZ655424 WVV655424 N720960 JJ720960 TF720960 ADB720960 AMX720960 AWT720960 BGP720960 BQL720960 CAH720960 CKD720960 CTZ720960 DDV720960 DNR720960 DXN720960 EHJ720960 ERF720960 FBB720960 FKX720960 FUT720960 GEP720960 GOL720960 GYH720960 HID720960 HRZ720960 IBV720960 ILR720960 IVN720960 JFJ720960 JPF720960 JZB720960 KIX720960 KST720960 LCP720960 LML720960 LWH720960 MGD720960 MPZ720960 MZV720960 NJR720960 NTN720960 ODJ720960 ONF720960 OXB720960 PGX720960 PQT720960 QAP720960 QKL720960 QUH720960 RED720960 RNZ720960 RXV720960 SHR720960 SRN720960 TBJ720960 TLF720960 TVB720960 UEX720960 UOT720960 UYP720960 VIL720960 VSH720960 WCD720960 WLZ720960 WVV720960 N786496 JJ786496 TF786496 ADB786496 AMX786496 AWT786496 BGP786496 BQL786496 CAH786496 CKD786496 CTZ786496 DDV786496 DNR786496 DXN786496 EHJ786496 ERF786496 FBB786496 FKX786496 FUT786496 GEP786496 GOL786496 GYH786496 HID786496 HRZ786496 IBV786496 ILR786496 IVN786496 JFJ786496 JPF786496 JZB786496 KIX786496 KST786496 LCP786496 LML786496 LWH786496 MGD786496 MPZ786496 MZV786496 NJR786496 NTN786496 ODJ786496 ONF786496 OXB786496 PGX786496 PQT786496 QAP786496 QKL786496 QUH786496 RED786496 RNZ786496 RXV786496 SHR786496 SRN786496 TBJ786496 TLF786496 TVB786496 UEX786496 UOT786496 UYP786496 VIL786496 VSH786496 WCD786496 WLZ786496 WVV786496 N852032 JJ852032 TF852032 ADB852032 AMX852032 AWT852032 BGP852032 BQL852032 CAH852032 CKD852032 CTZ852032 DDV852032 DNR852032 DXN852032 EHJ852032 ERF852032 FBB852032 FKX852032 FUT852032 GEP852032 GOL852032 GYH852032 HID852032 HRZ852032 IBV852032 ILR852032 IVN852032 JFJ852032 JPF852032 JZB852032 KIX852032 KST852032 LCP852032 LML852032 LWH852032 MGD852032 MPZ852032 MZV852032 NJR852032 NTN852032 ODJ852032 ONF852032 OXB852032 PGX852032 PQT852032 QAP852032 QKL852032 QUH852032 RED852032 RNZ852032 RXV852032 SHR852032 SRN852032 TBJ852032 TLF852032 TVB852032 UEX852032 UOT852032 UYP852032 VIL852032 VSH852032 WCD852032 WLZ852032 WVV852032 N917568 JJ917568 TF917568 ADB917568 AMX917568 AWT917568 BGP917568 BQL917568 CAH917568 CKD917568 CTZ917568 DDV917568 DNR917568 DXN917568 EHJ917568 ERF917568 FBB917568 FKX917568 FUT917568 GEP917568 GOL917568 GYH917568 HID917568 HRZ917568 IBV917568 ILR917568 IVN917568 JFJ917568 JPF917568 JZB917568 KIX917568 KST917568 LCP917568 LML917568 LWH917568 MGD917568 MPZ917568 MZV917568 NJR917568 NTN917568 ODJ917568 ONF917568 OXB917568 PGX917568 PQT917568 QAP917568 QKL917568 QUH917568 RED917568 RNZ917568 RXV917568 SHR917568 SRN917568 TBJ917568 TLF917568 TVB917568 UEX917568 UOT917568 UYP917568 VIL917568 VSH917568 WCD917568 WLZ917568 WVV917568 N983104 JJ983104 TF983104 ADB983104 AMX983104 AWT983104 BGP983104 BQL983104 CAH983104 CKD983104 CTZ983104 DDV983104 DNR983104 DXN983104 EHJ983104 ERF983104 FBB983104 FKX983104 FUT983104 GEP983104 GOL983104 GYH983104 HID983104 HRZ983104 IBV983104 ILR983104 IVN983104 JFJ983104 JPF983104 JZB983104 KIX983104 KST983104 LCP983104 LML983104 LWH983104 MGD983104 MPZ983104 MZV983104 NJR983104 NTN983104 ODJ983104 ONF983104 OXB983104 PGX983104 PQT983104 QAP983104 QKL983104 QUH983104 RED983104 RNZ983104 RXV983104 SHR983104 SRN983104 TBJ983104 TLF983104 TVB983104 UEX983104 UOT983104 UYP983104 VIL983104 VSH983104 WCD983104 WLZ983104 WVV983104">
      <formula1>AND(MOD(N64,4)=0,N64&gt;=512,N64&lt;=16384)</formula1>
    </dataValidation>
    <dataValidation type="whole" allowBlank="1" showInputMessage="1" showErrorMessage="1" errorTitle="设置值超出范围" error="包间隔设置值超出范围" sqref="N65 JJ65 TF65 ADB65 AMX65 AWT65 BGP65 BQL65 CAH65 CKD65 CTZ65 DDV65 DNR65 DXN65 EHJ65 ERF65 FBB65 FKX65 FUT65 GEP65 GOL65 GYH65 HID65 HRZ65 IBV65 ILR65 IVN65 JFJ65 JPF65 JZB65 KIX65 KST65 LCP65 LML65 LWH65 MGD65 MPZ65 MZV65 NJR65 NTN65 ODJ65 ONF65 OXB65 PGX65 PQT65 QAP65 QKL65 QUH65 RED65 RNZ65 RXV65 SHR65 SRN65 TBJ65 TLF65 TVB65 UEX65 UOT65 UYP65 VIL65 VSH65 WCD65 WLZ65 WVV65 N65601 JJ65601 TF65601 ADB65601 AMX65601 AWT65601 BGP65601 BQL65601 CAH65601 CKD65601 CTZ65601 DDV65601 DNR65601 DXN65601 EHJ65601 ERF65601 FBB65601 FKX65601 FUT65601 GEP65601 GOL65601 GYH65601 HID65601 HRZ65601 IBV65601 ILR65601 IVN65601 JFJ65601 JPF65601 JZB65601 KIX65601 KST65601 LCP65601 LML65601 LWH65601 MGD65601 MPZ65601 MZV65601 NJR65601 NTN65601 ODJ65601 ONF65601 OXB65601 PGX65601 PQT65601 QAP65601 QKL65601 QUH65601 RED65601 RNZ65601 RXV65601 SHR65601 SRN65601 TBJ65601 TLF65601 TVB65601 UEX65601 UOT65601 UYP65601 VIL65601 VSH65601 WCD65601 WLZ65601 WVV65601 N131137 JJ131137 TF131137 ADB131137 AMX131137 AWT131137 BGP131137 BQL131137 CAH131137 CKD131137 CTZ131137 DDV131137 DNR131137 DXN131137 EHJ131137 ERF131137 FBB131137 FKX131137 FUT131137 GEP131137 GOL131137 GYH131137 HID131137 HRZ131137 IBV131137 ILR131137 IVN131137 JFJ131137 JPF131137 JZB131137 KIX131137 KST131137 LCP131137 LML131137 LWH131137 MGD131137 MPZ131137 MZV131137 NJR131137 NTN131137 ODJ131137 ONF131137 OXB131137 PGX131137 PQT131137 QAP131137 QKL131137 QUH131137 RED131137 RNZ131137 RXV131137 SHR131137 SRN131137 TBJ131137 TLF131137 TVB131137 UEX131137 UOT131137 UYP131137 VIL131137 VSH131137 WCD131137 WLZ131137 WVV131137 N196673 JJ196673 TF196673 ADB196673 AMX196673 AWT196673 BGP196673 BQL196673 CAH196673 CKD196673 CTZ196673 DDV196673 DNR196673 DXN196673 EHJ196673 ERF196673 FBB196673 FKX196673 FUT196673 GEP196673 GOL196673 GYH196673 HID196673 HRZ196673 IBV196673 ILR196673 IVN196673 JFJ196673 JPF196673 JZB196673 KIX196673 KST196673 LCP196673 LML196673 LWH196673 MGD196673 MPZ196673 MZV196673 NJR196673 NTN196673 ODJ196673 ONF196673 OXB196673 PGX196673 PQT196673 QAP196673 QKL196673 QUH196673 RED196673 RNZ196673 RXV196673 SHR196673 SRN196673 TBJ196673 TLF196673 TVB196673 UEX196673 UOT196673 UYP196673 VIL196673 VSH196673 WCD196673 WLZ196673 WVV196673 N262209 JJ262209 TF262209 ADB262209 AMX262209 AWT262209 BGP262209 BQL262209 CAH262209 CKD262209 CTZ262209 DDV262209 DNR262209 DXN262209 EHJ262209 ERF262209 FBB262209 FKX262209 FUT262209 GEP262209 GOL262209 GYH262209 HID262209 HRZ262209 IBV262209 ILR262209 IVN262209 JFJ262209 JPF262209 JZB262209 KIX262209 KST262209 LCP262209 LML262209 LWH262209 MGD262209 MPZ262209 MZV262209 NJR262209 NTN262209 ODJ262209 ONF262209 OXB262209 PGX262209 PQT262209 QAP262209 QKL262209 QUH262209 RED262209 RNZ262209 RXV262209 SHR262209 SRN262209 TBJ262209 TLF262209 TVB262209 UEX262209 UOT262209 UYP262209 VIL262209 VSH262209 WCD262209 WLZ262209 WVV262209 N327745 JJ327745 TF327745 ADB327745 AMX327745 AWT327745 BGP327745 BQL327745 CAH327745 CKD327745 CTZ327745 DDV327745 DNR327745 DXN327745 EHJ327745 ERF327745 FBB327745 FKX327745 FUT327745 GEP327745 GOL327745 GYH327745 HID327745 HRZ327745 IBV327745 ILR327745 IVN327745 JFJ327745 JPF327745 JZB327745 KIX327745 KST327745 LCP327745 LML327745 LWH327745 MGD327745 MPZ327745 MZV327745 NJR327745 NTN327745 ODJ327745 ONF327745 OXB327745 PGX327745 PQT327745 QAP327745 QKL327745 QUH327745 RED327745 RNZ327745 RXV327745 SHR327745 SRN327745 TBJ327745 TLF327745 TVB327745 UEX327745 UOT327745 UYP327745 VIL327745 VSH327745 WCD327745 WLZ327745 WVV327745 N393281 JJ393281 TF393281 ADB393281 AMX393281 AWT393281 BGP393281 BQL393281 CAH393281 CKD393281 CTZ393281 DDV393281 DNR393281 DXN393281 EHJ393281 ERF393281 FBB393281 FKX393281 FUT393281 GEP393281 GOL393281 GYH393281 HID393281 HRZ393281 IBV393281 ILR393281 IVN393281 JFJ393281 JPF393281 JZB393281 KIX393281 KST393281 LCP393281 LML393281 LWH393281 MGD393281 MPZ393281 MZV393281 NJR393281 NTN393281 ODJ393281 ONF393281 OXB393281 PGX393281 PQT393281 QAP393281 QKL393281 QUH393281 RED393281 RNZ393281 RXV393281 SHR393281 SRN393281 TBJ393281 TLF393281 TVB393281 UEX393281 UOT393281 UYP393281 VIL393281 VSH393281 WCD393281 WLZ393281 WVV393281 N458817 JJ458817 TF458817 ADB458817 AMX458817 AWT458817 BGP458817 BQL458817 CAH458817 CKD458817 CTZ458817 DDV458817 DNR458817 DXN458817 EHJ458817 ERF458817 FBB458817 FKX458817 FUT458817 GEP458817 GOL458817 GYH458817 HID458817 HRZ458817 IBV458817 ILR458817 IVN458817 JFJ458817 JPF458817 JZB458817 KIX458817 KST458817 LCP458817 LML458817 LWH458817 MGD458817 MPZ458817 MZV458817 NJR458817 NTN458817 ODJ458817 ONF458817 OXB458817 PGX458817 PQT458817 QAP458817 QKL458817 QUH458817 RED458817 RNZ458817 RXV458817 SHR458817 SRN458817 TBJ458817 TLF458817 TVB458817 UEX458817 UOT458817 UYP458817 VIL458817 VSH458817 WCD458817 WLZ458817 WVV458817 N524353 JJ524353 TF524353 ADB524353 AMX524353 AWT524353 BGP524353 BQL524353 CAH524353 CKD524353 CTZ524353 DDV524353 DNR524353 DXN524353 EHJ524353 ERF524353 FBB524353 FKX524353 FUT524353 GEP524353 GOL524353 GYH524353 HID524353 HRZ524353 IBV524353 ILR524353 IVN524353 JFJ524353 JPF524353 JZB524353 KIX524353 KST524353 LCP524353 LML524353 LWH524353 MGD524353 MPZ524353 MZV524353 NJR524353 NTN524353 ODJ524353 ONF524353 OXB524353 PGX524353 PQT524353 QAP524353 QKL524353 QUH524353 RED524353 RNZ524353 RXV524353 SHR524353 SRN524353 TBJ524353 TLF524353 TVB524353 UEX524353 UOT524353 UYP524353 VIL524353 VSH524353 WCD524353 WLZ524353 WVV524353 N589889 JJ589889 TF589889 ADB589889 AMX589889 AWT589889 BGP589889 BQL589889 CAH589889 CKD589889 CTZ589889 DDV589889 DNR589889 DXN589889 EHJ589889 ERF589889 FBB589889 FKX589889 FUT589889 GEP589889 GOL589889 GYH589889 HID589889 HRZ589889 IBV589889 ILR589889 IVN589889 JFJ589889 JPF589889 JZB589889 KIX589889 KST589889 LCP589889 LML589889 LWH589889 MGD589889 MPZ589889 MZV589889 NJR589889 NTN589889 ODJ589889 ONF589889 OXB589889 PGX589889 PQT589889 QAP589889 QKL589889 QUH589889 RED589889 RNZ589889 RXV589889 SHR589889 SRN589889 TBJ589889 TLF589889 TVB589889 UEX589889 UOT589889 UYP589889 VIL589889 VSH589889 WCD589889 WLZ589889 WVV589889 N655425 JJ655425 TF655425 ADB655425 AMX655425 AWT655425 BGP655425 BQL655425 CAH655425 CKD655425 CTZ655425 DDV655425 DNR655425 DXN655425 EHJ655425 ERF655425 FBB655425 FKX655425 FUT655425 GEP655425 GOL655425 GYH655425 HID655425 HRZ655425 IBV655425 ILR655425 IVN655425 JFJ655425 JPF655425 JZB655425 KIX655425 KST655425 LCP655425 LML655425 LWH655425 MGD655425 MPZ655425 MZV655425 NJR655425 NTN655425 ODJ655425 ONF655425 OXB655425 PGX655425 PQT655425 QAP655425 QKL655425 QUH655425 RED655425 RNZ655425 RXV655425 SHR655425 SRN655425 TBJ655425 TLF655425 TVB655425 UEX655425 UOT655425 UYP655425 VIL655425 VSH655425 WCD655425 WLZ655425 WVV655425 N720961 JJ720961 TF720961 ADB720961 AMX720961 AWT720961 BGP720961 BQL720961 CAH720961 CKD720961 CTZ720961 DDV720961 DNR720961 DXN720961 EHJ720961 ERF720961 FBB720961 FKX720961 FUT720961 GEP720961 GOL720961 GYH720961 HID720961 HRZ720961 IBV720961 ILR720961 IVN720961 JFJ720961 JPF720961 JZB720961 KIX720961 KST720961 LCP720961 LML720961 LWH720961 MGD720961 MPZ720961 MZV720961 NJR720961 NTN720961 ODJ720961 ONF720961 OXB720961 PGX720961 PQT720961 QAP720961 QKL720961 QUH720961 RED720961 RNZ720961 RXV720961 SHR720961 SRN720961 TBJ720961 TLF720961 TVB720961 UEX720961 UOT720961 UYP720961 VIL720961 VSH720961 WCD720961 WLZ720961 WVV720961 N786497 JJ786497 TF786497 ADB786497 AMX786497 AWT786497 BGP786497 BQL786497 CAH786497 CKD786497 CTZ786497 DDV786497 DNR786497 DXN786497 EHJ786497 ERF786497 FBB786497 FKX786497 FUT786497 GEP786497 GOL786497 GYH786497 HID786497 HRZ786497 IBV786497 ILR786497 IVN786497 JFJ786497 JPF786497 JZB786497 KIX786497 KST786497 LCP786497 LML786497 LWH786497 MGD786497 MPZ786497 MZV786497 NJR786497 NTN786497 ODJ786497 ONF786497 OXB786497 PGX786497 PQT786497 QAP786497 QKL786497 QUH786497 RED786497 RNZ786497 RXV786497 SHR786497 SRN786497 TBJ786497 TLF786497 TVB786497 UEX786497 UOT786497 UYP786497 VIL786497 VSH786497 WCD786497 WLZ786497 WVV786497 N852033 JJ852033 TF852033 ADB852033 AMX852033 AWT852033 BGP852033 BQL852033 CAH852033 CKD852033 CTZ852033 DDV852033 DNR852033 DXN852033 EHJ852033 ERF852033 FBB852033 FKX852033 FUT852033 GEP852033 GOL852033 GYH852033 HID852033 HRZ852033 IBV852033 ILR852033 IVN852033 JFJ852033 JPF852033 JZB852033 KIX852033 KST852033 LCP852033 LML852033 LWH852033 MGD852033 MPZ852033 MZV852033 NJR852033 NTN852033 ODJ852033 ONF852033 OXB852033 PGX852033 PQT852033 QAP852033 QKL852033 QUH852033 RED852033 RNZ852033 RXV852033 SHR852033 SRN852033 TBJ852033 TLF852033 TVB852033 UEX852033 UOT852033 UYP852033 VIL852033 VSH852033 WCD852033 WLZ852033 WVV852033 N917569 JJ917569 TF917569 ADB917569 AMX917569 AWT917569 BGP917569 BQL917569 CAH917569 CKD917569 CTZ917569 DDV917569 DNR917569 DXN917569 EHJ917569 ERF917569 FBB917569 FKX917569 FUT917569 GEP917569 GOL917569 GYH917569 HID917569 HRZ917569 IBV917569 ILR917569 IVN917569 JFJ917569 JPF917569 JZB917569 KIX917569 KST917569 LCP917569 LML917569 LWH917569 MGD917569 MPZ917569 MZV917569 NJR917569 NTN917569 ODJ917569 ONF917569 OXB917569 PGX917569 PQT917569 QAP917569 QKL917569 QUH917569 RED917569 RNZ917569 RXV917569 SHR917569 SRN917569 TBJ917569 TLF917569 TVB917569 UEX917569 UOT917569 UYP917569 VIL917569 VSH917569 WCD917569 WLZ917569 WVV917569 N983105 JJ983105 TF983105 ADB983105 AMX983105 AWT983105 BGP983105 BQL983105 CAH983105 CKD983105 CTZ983105 DDV983105 DNR983105 DXN983105 EHJ983105 ERF983105 FBB983105 FKX983105 FUT983105 GEP983105 GOL983105 GYH983105 HID983105 HRZ983105 IBV983105 ILR983105 IVN983105 JFJ983105 JPF983105 JZB983105 KIX983105 KST983105 LCP983105 LML983105 LWH983105 MGD983105 MPZ983105 MZV983105 NJR983105 NTN983105 ODJ983105 ONF983105 OXB983105 PGX983105 PQT983105 QAP983105 QKL983105 QUH983105 RED983105 RNZ983105 RXV983105 SHR983105 SRN983105 TBJ983105 TLF983105 TVB983105 UEX983105 UOT983105 UYP983105 VIL983105 VSH983105 WCD983105 WLZ983105 WVV983105">
      <formula1>T71</formula1>
      <formula2>T60</formula2>
    </dataValidation>
    <dataValidation type="list" allowBlank="1" showInputMessage="1" showErrorMessage="1" errorTitle="超出范围" error="0:关闭_x000a_1:打开" sqref="N68 JJ68 TF68 ADB68 AMX68 AWT68 BGP68 BQL68 CAH68 CKD68 CTZ68 DDV68 DNR68 DXN68 EHJ68 ERF68 FBB68 FKX68 FUT68 GEP68 GOL68 GYH68 HID68 HRZ68 IBV68 ILR68 IVN68 JFJ68 JPF68 JZB68 KIX68 KST68 LCP68 LML68 LWH68 MGD68 MPZ68 MZV68 NJR68 NTN68 ODJ68 ONF68 OXB68 PGX68 PQT68 QAP68 QKL68 QUH68 RED68 RNZ68 RXV68 SHR68 SRN68 TBJ68 TLF68 TVB68 UEX68 UOT68 UYP68 VIL68 VSH68 WCD68 WLZ68 WVV68 N65604 JJ65604 TF65604 ADB65604 AMX65604 AWT65604 BGP65604 BQL65604 CAH65604 CKD65604 CTZ65604 DDV65604 DNR65604 DXN65604 EHJ65604 ERF65604 FBB65604 FKX65604 FUT65604 GEP65604 GOL65604 GYH65604 HID65604 HRZ65604 IBV65604 ILR65604 IVN65604 JFJ65604 JPF65604 JZB65604 KIX65604 KST65604 LCP65604 LML65604 LWH65604 MGD65604 MPZ65604 MZV65604 NJR65604 NTN65604 ODJ65604 ONF65604 OXB65604 PGX65604 PQT65604 QAP65604 QKL65604 QUH65604 RED65604 RNZ65604 RXV65604 SHR65604 SRN65604 TBJ65604 TLF65604 TVB65604 UEX65604 UOT65604 UYP65604 VIL65604 VSH65604 WCD65604 WLZ65604 WVV65604 N131140 JJ131140 TF131140 ADB131140 AMX131140 AWT131140 BGP131140 BQL131140 CAH131140 CKD131140 CTZ131140 DDV131140 DNR131140 DXN131140 EHJ131140 ERF131140 FBB131140 FKX131140 FUT131140 GEP131140 GOL131140 GYH131140 HID131140 HRZ131140 IBV131140 ILR131140 IVN131140 JFJ131140 JPF131140 JZB131140 KIX131140 KST131140 LCP131140 LML131140 LWH131140 MGD131140 MPZ131140 MZV131140 NJR131140 NTN131140 ODJ131140 ONF131140 OXB131140 PGX131140 PQT131140 QAP131140 QKL131140 QUH131140 RED131140 RNZ131140 RXV131140 SHR131140 SRN131140 TBJ131140 TLF131140 TVB131140 UEX131140 UOT131140 UYP131140 VIL131140 VSH131140 WCD131140 WLZ131140 WVV131140 N196676 JJ196676 TF196676 ADB196676 AMX196676 AWT196676 BGP196676 BQL196676 CAH196676 CKD196676 CTZ196676 DDV196676 DNR196676 DXN196676 EHJ196676 ERF196676 FBB196676 FKX196676 FUT196676 GEP196676 GOL196676 GYH196676 HID196676 HRZ196676 IBV196676 ILR196676 IVN196676 JFJ196676 JPF196676 JZB196676 KIX196676 KST196676 LCP196676 LML196676 LWH196676 MGD196676 MPZ196676 MZV196676 NJR196676 NTN196676 ODJ196676 ONF196676 OXB196676 PGX196676 PQT196676 QAP196676 QKL196676 QUH196676 RED196676 RNZ196676 RXV196676 SHR196676 SRN196676 TBJ196676 TLF196676 TVB196676 UEX196676 UOT196676 UYP196676 VIL196676 VSH196676 WCD196676 WLZ196676 WVV196676 N262212 JJ262212 TF262212 ADB262212 AMX262212 AWT262212 BGP262212 BQL262212 CAH262212 CKD262212 CTZ262212 DDV262212 DNR262212 DXN262212 EHJ262212 ERF262212 FBB262212 FKX262212 FUT262212 GEP262212 GOL262212 GYH262212 HID262212 HRZ262212 IBV262212 ILR262212 IVN262212 JFJ262212 JPF262212 JZB262212 KIX262212 KST262212 LCP262212 LML262212 LWH262212 MGD262212 MPZ262212 MZV262212 NJR262212 NTN262212 ODJ262212 ONF262212 OXB262212 PGX262212 PQT262212 QAP262212 QKL262212 QUH262212 RED262212 RNZ262212 RXV262212 SHR262212 SRN262212 TBJ262212 TLF262212 TVB262212 UEX262212 UOT262212 UYP262212 VIL262212 VSH262212 WCD262212 WLZ262212 WVV262212 N327748 JJ327748 TF327748 ADB327748 AMX327748 AWT327748 BGP327748 BQL327748 CAH327748 CKD327748 CTZ327748 DDV327748 DNR327748 DXN327748 EHJ327748 ERF327748 FBB327748 FKX327748 FUT327748 GEP327748 GOL327748 GYH327748 HID327748 HRZ327748 IBV327748 ILR327748 IVN327748 JFJ327748 JPF327748 JZB327748 KIX327748 KST327748 LCP327748 LML327748 LWH327748 MGD327748 MPZ327748 MZV327748 NJR327748 NTN327748 ODJ327748 ONF327748 OXB327748 PGX327748 PQT327748 QAP327748 QKL327748 QUH327748 RED327748 RNZ327748 RXV327748 SHR327748 SRN327748 TBJ327748 TLF327748 TVB327748 UEX327748 UOT327748 UYP327748 VIL327748 VSH327748 WCD327748 WLZ327748 WVV327748 N393284 JJ393284 TF393284 ADB393284 AMX393284 AWT393284 BGP393284 BQL393284 CAH393284 CKD393284 CTZ393284 DDV393284 DNR393284 DXN393284 EHJ393284 ERF393284 FBB393284 FKX393284 FUT393284 GEP393284 GOL393284 GYH393284 HID393284 HRZ393284 IBV393284 ILR393284 IVN393284 JFJ393284 JPF393284 JZB393284 KIX393284 KST393284 LCP393284 LML393284 LWH393284 MGD393284 MPZ393284 MZV393284 NJR393284 NTN393284 ODJ393284 ONF393284 OXB393284 PGX393284 PQT393284 QAP393284 QKL393284 QUH393284 RED393284 RNZ393284 RXV393284 SHR393284 SRN393284 TBJ393284 TLF393284 TVB393284 UEX393284 UOT393284 UYP393284 VIL393284 VSH393284 WCD393284 WLZ393284 WVV393284 N458820 JJ458820 TF458820 ADB458820 AMX458820 AWT458820 BGP458820 BQL458820 CAH458820 CKD458820 CTZ458820 DDV458820 DNR458820 DXN458820 EHJ458820 ERF458820 FBB458820 FKX458820 FUT458820 GEP458820 GOL458820 GYH458820 HID458820 HRZ458820 IBV458820 ILR458820 IVN458820 JFJ458820 JPF458820 JZB458820 KIX458820 KST458820 LCP458820 LML458820 LWH458820 MGD458820 MPZ458820 MZV458820 NJR458820 NTN458820 ODJ458820 ONF458820 OXB458820 PGX458820 PQT458820 QAP458820 QKL458820 QUH458820 RED458820 RNZ458820 RXV458820 SHR458820 SRN458820 TBJ458820 TLF458820 TVB458820 UEX458820 UOT458820 UYP458820 VIL458820 VSH458820 WCD458820 WLZ458820 WVV458820 N524356 JJ524356 TF524356 ADB524356 AMX524356 AWT524356 BGP524356 BQL524356 CAH524356 CKD524356 CTZ524356 DDV524356 DNR524356 DXN524356 EHJ524356 ERF524356 FBB524356 FKX524356 FUT524356 GEP524356 GOL524356 GYH524356 HID524356 HRZ524356 IBV524356 ILR524356 IVN524356 JFJ524356 JPF524356 JZB524356 KIX524356 KST524356 LCP524356 LML524356 LWH524356 MGD524356 MPZ524356 MZV524356 NJR524356 NTN524356 ODJ524356 ONF524356 OXB524356 PGX524356 PQT524356 QAP524356 QKL524356 QUH524356 RED524356 RNZ524356 RXV524356 SHR524356 SRN524356 TBJ524356 TLF524356 TVB524356 UEX524356 UOT524356 UYP524356 VIL524356 VSH524356 WCD524356 WLZ524356 WVV524356 N589892 JJ589892 TF589892 ADB589892 AMX589892 AWT589892 BGP589892 BQL589892 CAH589892 CKD589892 CTZ589892 DDV589892 DNR589892 DXN589892 EHJ589892 ERF589892 FBB589892 FKX589892 FUT589892 GEP589892 GOL589892 GYH589892 HID589892 HRZ589892 IBV589892 ILR589892 IVN589892 JFJ589892 JPF589892 JZB589892 KIX589892 KST589892 LCP589892 LML589892 LWH589892 MGD589892 MPZ589892 MZV589892 NJR589892 NTN589892 ODJ589892 ONF589892 OXB589892 PGX589892 PQT589892 QAP589892 QKL589892 QUH589892 RED589892 RNZ589892 RXV589892 SHR589892 SRN589892 TBJ589892 TLF589892 TVB589892 UEX589892 UOT589892 UYP589892 VIL589892 VSH589892 WCD589892 WLZ589892 WVV589892 N655428 JJ655428 TF655428 ADB655428 AMX655428 AWT655428 BGP655428 BQL655428 CAH655428 CKD655428 CTZ655428 DDV655428 DNR655428 DXN655428 EHJ655428 ERF655428 FBB655428 FKX655428 FUT655428 GEP655428 GOL655428 GYH655428 HID655428 HRZ655428 IBV655428 ILR655428 IVN655428 JFJ655428 JPF655428 JZB655428 KIX655428 KST655428 LCP655428 LML655428 LWH655428 MGD655428 MPZ655428 MZV655428 NJR655428 NTN655428 ODJ655428 ONF655428 OXB655428 PGX655428 PQT655428 QAP655428 QKL655428 QUH655428 RED655428 RNZ655428 RXV655428 SHR655428 SRN655428 TBJ655428 TLF655428 TVB655428 UEX655428 UOT655428 UYP655428 VIL655428 VSH655428 WCD655428 WLZ655428 WVV655428 N720964 JJ720964 TF720964 ADB720964 AMX720964 AWT720964 BGP720964 BQL720964 CAH720964 CKD720964 CTZ720964 DDV720964 DNR720964 DXN720964 EHJ720964 ERF720964 FBB720964 FKX720964 FUT720964 GEP720964 GOL720964 GYH720964 HID720964 HRZ720964 IBV720964 ILR720964 IVN720964 JFJ720964 JPF720964 JZB720964 KIX720964 KST720964 LCP720964 LML720964 LWH720964 MGD720964 MPZ720964 MZV720964 NJR720964 NTN720964 ODJ720964 ONF720964 OXB720964 PGX720964 PQT720964 QAP720964 QKL720964 QUH720964 RED720964 RNZ720964 RXV720964 SHR720964 SRN720964 TBJ720964 TLF720964 TVB720964 UEX720964 UOT720964 UYP720964 VIL720964 VSH720964 WCD720964 WLZ720964 WVV720964 N786500 JJ786500 TF786500 ADB786500 AMX786500 AWT786500 BGP786500 BQL786500 CAH786500 CKD786500 CTZ786500 DDV786500 DNR786500 DXN786500 EHJ786500 ERF786500 FBB786500 FKX786500 FUT786500 GEP786500 GOL786500 GYH786500 HID786500 HRZ786500 IBV786500 ILR786500 IVN786500 JFJ786500 JPF786500 JZB786500 KIX786500 KST786500 LCP786500 LML786500 LWH786500 MGD786500 MPZ786500 MZV786500 NJR786500 NTN786500 ODJ786500 ONF786500 OXB786500 PGX786500 PQT786500 QAP786500 QKL786500 QUH786500 RED786500 RNZ786500 RXV786500 SHR786500 SRN786500 TBJ786500 TLF786500 TVB786500 UEX786500 UOT786500 UYP786500 VIL786500 VSH786500 WCD786500 WLZ786500 WVV786500 N852036 JJ852036 TF852036 ADB852036 AMX852036 AWT852036 BGP852036 BQL852036 CAH852036 CKD852036 CTZ852036 DDV852036 DNR852036 DXN852036 EHJ852036 ERF852036 FBB852036 FKX852036 FUT852036 GEP852036 GOL852036 GYH852036 HID852036 HRZ852036 IBV852036 ILR852036 IVN852036 JFJ852036 JPF852036 JZB852036 KIX852036 KST852036 LCP852036 LML852036 LWH852036 MGD852036 MPZ852036 MZV852036 NJR852036 NTN852036 ODJ852036 ONF852036 OXB852036 PGX852036 PQT852036 QAP852036 QKL852036 QUH852036 RED852036 RNZ852036 RXV852036 SHR852036 SRN852036 TBJ852036 TLF852036 TVB852036 UEX852036 UOT852036 UYP852036 VIL852036 VSH852036 WCD852036 WLZ852036 WVV852036 N917572 JJ917572 TF917572 ADB917572 AMX917572 AWT917572 BGP917572 BQL917572 CAH917572 CKD917572 CTZ917572 DDV917572 DNR917572 DXN917572 EHJ917572 ERF917572 FBB917572 FKX917572 FUT917572 GEP917572 GOL917572 GYH917572 HID917572 HRZ917572 IBV917572 ILR917572 IVN917572 JFJ917572 JPF917572 JZB917572 KIX917572 KST917572 LCP917572 LML917572 LWH917572 MGD917572 MPZ917572 MZV917572 NJR917572 NTN917572 ODJ917572 ONF917572 OXB917572 PGX917572 PQT917572 QAP917572 QKL917572 QUH917572 RED917572 RNZ917572 RXV917572 SHR917572 SRN917572 TBJ917572 TLF917572 TVB917572 UEX917572 UOT917572 UYP917572 VIL917572 VSH917572 WCD917572 WLZ917572 WVV917572 N983108 JJ983108 TF983108 ADB983108 AMX983108 AWT983108 BGP983108 BQL983108 CAH983108 CKD983108 CTZ983108 DDV983108 DNR983108 DXN983108 EHJ983108 ERF983108 FBB983108 FKX983108 FUT983108 GEP983108 GOL983108 GYH983108 HID983108 HRZ983108 IBV983108 ILR983108 IVN983108 JFJ983108 JPF983108 JZB983108 KIX983108 KST983108 LCP983108 LML983108 LWH983108 MGD983108 MPZ983108 MZV983108 NJR983108 NTN983108 ODJ983108 ONF983108 OXB983108 PGX983108 PQT983108 QAP983108 QKL983108 QUH983108 RED983108 RNZ983108 RXV983108 SHR983108 SRN983108 TBJ983108 TLF983108 TVB983108 UEX983108 UOT983108 UYP983108 VIL983108 VSH983108 WCD983108 WLZ983108 WVV983108">
      <formula1>"0,1"</formula1>
    </dataValidation>
    <dataValidation type="decimal" allowBlank="1" showInputMessage="1" showErrorMessage="1" sqref="N69 JJ69 TF69 ADB69 AMX69 AWT69 BGP69 BQL69 CAH69 CKD69 CTZ69 DDV69 DNR69 DXN69 EHJ69 ERF69 FBB69 FKX69 FUT69 GEP69 GOL69 GYH69 HID69 HRZ69 IBV69 ILR69 IVN69 JFJ69 JPF69 JZB69 KIX69 KST69 LCP69 LML69 LWH69 MGD69 MPZ69 MZV69 NJR69 NTN69 ODJ69 ONF69 OXB69 PGX69 PQT69 QAP69 QKL69 QUH69 RED69 RNZ69 RXV69 SHR69 SRN69 TBJ69 TLF69 TVB69 UEX69 UOT69 UYP69 VIL69 VSH69 WCD69 WLZ69 WVV69 N65605 JJ65605 TF65605 ADB65605 AMX65605 AWT65605 BGP65605 BQL65605 CAH65605 CKD65605 CTZ65605 DDV65605 DNR65605 DXN65605 EHJ65605 ERF65605 FBB65605 FKX65605 FUT65605 GEP65605 GOL65605 GYH65605 HID65605 HRZ65605 IBV65605 ILR65605 IVN65605 JFJ65605 JPF65605 JZB65605 KIX65605 KST65605 LCP65605 LML65605 LWH65605 MGD65605 MPZ65605 MZV65605 NJR65605 NTN65605 ODJ65605 ONF65605 OXB65605 PGX65605 PQT65605 QAP65605 QKL65605 QUH65605 RED65605 RNZ65605 RXV65605 SHR65605 SRN65605 TBJ65605 TLF65605 TVB65605 UEX65605 UOT65605 UYP65605 VIL65605 VSH65605 WCD65605 WLZ65605 WVV65605 N131141 JJ131141 TF131141 ADB131141 AMX131141 AWT131141 BGP131141 BQL131141 CAH131141 CKD131141 CTZ131141 DDV131141 DNR131141 DXN131141 EHJ131141 ERF131141 FBB131141 FKX131141 FUT131141 GEP131141 GOL131141 GYH131141 HID131141 HRZ131141 IBV131141 ILR131141 IVN131141 JFJ131141 JPF131141 JZB131141 KIX131141 KST131141 LCP131141 LML131141 LWH131141 MGD131141 MPZ131141 MZV131141 NJR131141 NTN131141 ODJ131141 ONF131141 OXB131141 PGX131141 PQT131141 QAP131141 QKL131141 QUH131141 RED131141 RNZ131141 RXV131141 SHR131141 SRN131141 TBJ131141 TLF131141 TVB131141 UEX131141 UOT131141 UYP131141 VIL131141 VSH131141 WCD131141 WLZ131141 WVV131141 N196677 JJ196677 TF196677 ADB196677 AMX196677 AWT196677 BGP196677 BQL196677 CAH196677 CKD196677 CTZ196677 DDV196677 DNR196677 DXN196677 EHJ196677 ERF196677 FBB196677 FKX196677 FUT196677 GEP196677 GOL196677 GYH196677 HID196677 HRZ196677 IBV196677 ILR196677 IVN196677 JFJ196677 JPF196677 JZB196677 KIX196677 KST196677 LCP196677 LML196677 LWH196677 MGD196677 MPZ196677 MZV196677 NJR196677 NTN196677 ODJ196677 ONF196677 OXB196677 PGX196677 PQT196677 QAP196677 QKL196677 QUH196677 RED196677 RNZ196677 RXV196677 SHR196677 SRN196677 TBJ196677 TLF196677 TVB196677 UEX196677 UOT196677 UYP196677 VIL196677 VSH196677 WCD196677 WLZ196677 WVV196677 N262213 JJ262213 TF262213 ADB262213 AMX262213 AWT262213 BGP262213 BQL262213 CAH262213 CKD262213 CTZ262213 DDV262213 DNR262213 DXN262213 EHJ262213 ERF262213 FBB262213 FKX262213 FUT262213 GEP262213 GOL262213 GYH262213 HID262213 HRZ262213 IBV262213 ILR262213 IVN262213 JFJ262213 JPF262213 JZB262213 KIX262213 KST262213 LCP262213 LML262213 LWH262213 MGD262213 MPZ262213 MZV262213 NJR262213 NTN262213 ODJ262213 ONF262213 OXB262213 PGX262213 PQT262213 QAP262213 QKL262213 QUH262213 RED262213 RNZ262213 RXV262213 SHR262213 SRN262213 TBJ262213 TLF262213 TVB262213 UEX262213 UOT262213 UYP262213 VIL262213 VSH262213 WCD262213 WLZ262213 WVV262213 N327749 JJ327749 TF327749 ADB327749 AMX327749 AWT327749 BGP327749 BQL327749 CAH327749 CKD327749 CTZ327749 DDV327749 DNR327749 DXN327749 EHJ327749 ERF327749 FBB327749 FKX327749 FUT327749 GEP327749 GOL327749 GYH327749 HID327749 HRZ327749 IBV327749 ILR327749 IVN327749 JFJ327749 JPF327749 JZB327749 KIX327749 KST327749 LCP327749 LML327749 LWH327749 MGD327749 MPZ327749 MZV327749 NJR327749 NTN327749 ODJ327749 ONF327749 OXB327749 PGX327749 PQT327749 QAP327749 QKL327749 QUH327749 RED327749 RNZ327749 RXV327749 SHR327749 SRN327749 TBJ327749 TLF327749 TVB327749 UEX327749 UOT327749 UYP327749 VIL327749 VSH327749 WCD327749 WLZ327749 WVV327749 N393285 JJ393285 TF393285 ADB393285 AMX393285 AWT393285 BGP393285 BQL393285 CAH393285 CKD393285 CTZ393285 DDV393285 DNR393285 DXN393285 EHJ393285 ERF393285 FBB393285 FKX393285 FUT393285 GEP393285 GOL393285 GYH393285 HID393285 HRZ393285 IBV393285 ILR393285 IVN393285 JFJ393285 JPF393285 JZB393285 KIX393285 KST393285 LCP393285 LML393285 LWH393285 MGD393285 MPZ393285 MZV393285 NJR393285 NTN393285 ODJ393285 ONF393285 OXB393285 PGX393285 PQT393285 QAP393285 QKL393285 QUH393285 RED393285 RNZ393285 RXV393285 SHR393285 SRN393285 TBJ393285 TLF393285 TVB393285 UEX393285 UOT393285 UYP393285 VIL393285 VSH393285 WCD393285 WLZ393285 WVV393285 N458821 JJ458821 TF458821 ADB458821 AMX458821 AWT458821 BGP458821 BQL458821 CAH458821 CKD458821 CTZ458821 DDV458821 DNR458821 DXN458821 EHJ458821 ERF458821 FBB458821 FKX458821 FUT458821 GEP458821 GOL458821 GYH458821 HID458821 HRZ458821 IBV458821 ILR458821 IVN458821 JFJ458821 JPF458821 JZB458821 KIX458821 KST458821 LCP458821 LML458821 LWH458821 MGD458821 MPZ458821 MZV458821 NJR458821 NTN458821 ODJ458821 ONF458821 OXB458821 PGX458821 PQT458821 QAP458821 QKL458821 QUH458821 RED458821 RNZ458821 RXV458821 SHR458821 SRN458821 TBJ458821 TLF458821 TVB458821 UEX458821 UOT458821 UYP458821 VIL458821 VSH458821 WCD458821 WLZ458821 WVV458821 N524357 JJ524357 TF524357 ADB524357 AMX524357 AWT524357 BGP524357 BQL524357 CAH524357 CKD524357 CTZ524357 DDV524357 DNR524357 DXN524357 EHJ524357 ERF524357 FBB524357 FKX524357 FUT524357 GEP524357 GOL524357 GYH524357 HID524357 HRZ524357 IBV524357 ILR524357 IVN524357 JFJ524357 JPF524357 JZB524357 KIX524357 KST524357 LCP524357 LML524357 LWH524357 MGD524357 MPZ524357 MZV524357 NJR524357 NTN524357 ODJ524357 ONF524357 OXB524357 PGX524357 PQT524357 QAP524357 QKL524357 QUH524357 RED524357 RNZ524357 RXV524357 SHR524357 SRN524357 TBJ524357 TLF524357 TVB524357 UEX524357 UOT524357 UYP524357 VIL524357 VSH524357 WCD524357 WLZ524357 WVV524357 N589893 JJ589893 TF589893 ADB589893 AMX589893 AWT589893 BGP589893 BQL589893 CAH589893 CKD589893 CTZ589893 DDV589893 DNR589893 DXN589893 EHJ589893 ERF589893 FBB589893 FKX589893 FUT589893 GEP589893 GOL589893 GYH589893 HID589893 HRZ589893 IBV589893 ILR589893 IVN589893 JFJ589893 JPF589893 JZB589893 KIX589893 KST589893 LCP589893 LML589893 LWH589893 MGD589893 MPZ589893 MZV589893 NJR589893 NTN589893 ODJ589893 ONF589893 OXB589893 PGX589893 PQT589893 QAP589893 QKL589893 QUH589893 RED589893 RNZ589893 RXV589893 SHR589893 SRN589893 TBJ589893 TLF589893 TVB589893 UEX589893 UOT589893 UYP589893 VIL589893 VSH589893 WCD589893 WLZ589893 WVV589893 N655429 JJ655429 TF655429 ADB655429 AMX655429 AWT655429 BGP655429 BQL655429 CAH655429 CKD655429 CTZ655429 DDV655429 DNR655429 DXN655429 EHJ655429 ERF655429 FBB655429 FKX655429 FUT655429 GEP655429 GOL655429 GYH655429 HID655429 HRZ655429 IBV655429 ILR655429 IVN655429 JFJ655429 JPF655429 JZB655429 KIX655429 KST655429 LCP655429 LML655429 LWH655429 MGD655429 MPZ655429 MZV655429 NJR655429 NTN655429 ODJ655429 ONF655429 OXB655429 PGX655429 PQT655429 QAP655429 QKL655429 QUH655429 RED655429 RNZ655429 RXV655429 SHR655429 SRN655429 TBJ655429 TLF655429 TVB655429 UEX655429 UOT655429 UYP655429 VIL655429 VSH655429 WCD655429 WLZ655429 WVV655429 N720965 JJ720965 TF720965 ADB720965 AMX720965 AWT720965 BGP720965 BQL720965 CAH720965 CKD720965 CTZ720965 DDV720965 DNR720965 DXN720965 EHJ720965 ERF720965 FBB720965 FKX720965 FUT720965 GEP720965 GOL720965 GYH720965 HID720965 HRZ720965 IBV720965 ILR720965 IVN720965 JFJ720965 JPF720965 JZB720965 KIX720965 KST720965 LCP720965 LML720965 LWH720965 MGD720965 MPZ720965 MZV720965 NJR720965 NTN720965 ODJ720965 ONF720965 OXB720965 PGX720965 PQT720965 QAP720965 QKL720965 QUH720965 RED720965 RNZ720965 RXV720965 SHR720965 SRN720965 TBJ720965 TLF720965 TVB720965 UEX720965 UOT720965 UYP720965 VIL720965 VSH720965 WCD720965 WLZ720965 WVV720965 N786501 JJ786501 TF786501 ADB786501 AMX786501 AWT786501 BGP786501 BQL786501 CAH786501 CKD786501 CTZ786501 DDV786501 DNR786501 DXN786501 EHJ786501 ERF786501 FBB786501 FKX786501 FUT786501 GEP786501 GOL786501 GYH786501 HID786501 HRZ786501 IBV786501 ILR786501 IVN786501 JFJ786501 JPF786501 JZB786501 KIX786501 KST786501 LCP786501 LML786501 LWH786501 MGD786501 MPZ786501 MZV786501 NJR786501 NTN786501 ODJ786501 ONF786501 OXB786501 PGX786501 PQT786501 QAP786501 QKL786501 QUH786501 RED786501 RNZ786501 RXV786501 SHR786501 SRN786501 TBJ786501 TLF786501 TVB786501 UEX786501 UOT786501 UYP786501 VIL786501 VSH786501 WCD786501 WLZ786501 WVV786501 N852037 JJ852037 TF852037 ADB852037 AMX852037 AWT852037 BGP852037 BQL852037 CAH852037 CKD852037 CTZ852037 DDV852037 DNR852037 DXN852037 EHJ852037 ERF852037 FBB852037 FKX852037 FUT852037 GEP852037 GOL852037 GYH852037 HID852037 HRZ852037 IBV852037 ILR852037 IVN852037 JFJ852037 JPF852037 JZB852037 KIX852037 KST852037 LCP852037 LML852037 LWH852037 MGD852037 MPZ852037 MZV852037 NJR852037 NTN852037 ODJ852037 ONF852037 OXB852037 PGX852037 PQT852037 QAP852037 QKL852037 QUH852037 RED852037 RNZ852037 RXV852037 SHR852037 SRN852037 TBJ852037 TLF852037 TVB852037 UEX852037 UOT852037 UYP852037 VIL852037 VSH852037 WCD852037 WLZ852037 WVV852037 N917573 JJ917573 TF917573 ADB917573 AMX917573 AWT917573 BGP917573 BQL917573 CAH917573 CKD917573 CTZ917573 DDV917573 DNR917573 DXN917573 EHJ917573 ERF917573 FBB917573 FKX917573 FUT917573 GEP917573 GOL917573 GYH917573 HID917573 HRZ917573 IBV917573 ILR917573 IVN917573 JFJ917573 JPF917573 JZB917573 KIX917573 KST917573 LCP917573 LML917573 LWH917573 MGD917573 MPZ917573 MZV917573 NJR917573 NTN917573 ODJ917573 ONF917573 OXB917573 PGX917573 PQT917573 QAP917573 QKL917573 QUH917573 RED917573 RNZ917573 RXV917573 SHR917573 SRN917573 TBJ917573 TLF917573 TVB917573 UEX917573 UOT917573 UYP917573 VIL917573 VSH917573 WCD917573 WLZ917573 WVV917573 N983109 JJ983109 TF983109 ADB983109 AMX983109 AWT983109 BGP983109 BQL983109 CAH983109 CKD983109 CTZ983109 DDV983109 DNR983109 DXN983109 EHJ983109 ERF983109 FBB983109 FKX983109 FUT983109 GEP983109 GOL983109 GYH983109 HID983109 HRZ983109 IBV983109 ILR983109 IVN983109 JFJ983109 JPF983109 JZB983109 KIX983109 KST983109 LCP983109 LML983109 LWH983109 MGD983109 MPZ983109 MZV983109 NJR983109 NTN983109 ODJ983109 ONF983109 OXB983109 PGX983109 PQT983109 QAP983109 QKL983109 QUH983109 RED983109 RNZ983109 RXV983109 SHR983109 SRN983109 TBJ983109 TLF983109 TVB983109 UEX983109 UOT983109 UYP983109 VIL983109 VSH983109 WCD983109 WLZ983109 WVV983109">
      <formula1>0.1</formula1>
      <formula2>10000</formula2>
    </dataValidation>
    <dataValidation type="whole" errorStyle="information" operator="lessThanOrEqual" allowBlank="1" showErrorMessage="1" error="设置垂直Binning/Skipping时，需要同步修改垂直ROI" sqref="N72 JJ72 TF72 ADB72 AMX72 AWT72 BGP72 BQL72 CAH72 CKD72 CTZ72 DDV72 DNR72 DXN72 EHJ72 ERF72 FBB72 FKX72 FUT72 GEP72 GOL72 GYH72 HID72 HRZ72 IBV72 ILR72 IVN72 JFJ72 JPF72 JZB72 KIX72 KST72 LCP72 LML72 LWH72 MGD72 MPZ72 MZV72 NJR72 NTN72 ODJ72 ONF72 OXB72 PGX72 PQT72 QAP72 QKL72 QUH72 RED72 RNZ72 RXV72 SHR72 SRN72 TBJ72 TLF72 TVB72 UEX72 UOT72 UYP72 VIL72 VSH72 WCD72 WLZ72 WVV72 N75 JJ75 TF75 ADB75 AMX75 AWT75 BGP75 BQL75 CAH75 CKD75 CTZ75 DDV75 DNR75 DXN75 EHJ75 ERF75 FBB75 FKX75 FUT75 GEP75 GOL75 GYH75 HID75 HRZ75 IBV75 ILR75 IVN75 JFJ75 JPF75 JZB75 KIX75 KST75 LCP75 LML75 LWH75 MGD75 MPZ75 MZV75 NJR75 NTN75 ODJ75 ONF75 OXB75 PGX75 PQT75 QAP75 QKL75 QUH75 RED75 RNZ75 RXV75 SHR75 SRN75 TBJ75 TLF75 TVB75 UEX75 UOT75 UYP75 VIL75 VSH75 WCD75 WLZ75 WVV75 N65608 JJ65608 TF65608 ADB65608 AMX65608 AWT65608 BGP65608 BQL65608 CAH65608 CKD65608 CTZ65608 DDV65608 DNR65608 DXN65608 EHJ65608 ERF65608 FBB65608 FKX65608 FUT65608 GEP65608 GOL65608 GYH65608 HID65608 HRZ65608 IBV65608 ILR65608 IVN65608 JFJ65608 JPF65608 JZB65608 KIX65608 KST65608 LCP65608 LML65608 LWH65608 MGD65608 MPZ65608 MZV65608 NJR65608 NTN65608 ODJ65608 ONF65608 OXB65608 PGX65608 PQT65608 QAP65608 QKL65608 QUH65608 RED65608 RNZ65608 RXV65608 SHR65608 SRN65608 TBJ65608 TLF65608 TVB65608 UEX65608 UOT65608 UYP65608 VIL65608 VSH65608 WCD65608 WLZ65608 WVV65608 N65611 JJ65611 TF65611 ADB65611 AMX65611 AWT65611 BGP65611 BQL65611 CAH65611 CKD65611 CTZ65611 DDV65611 DNR65611 DXN65611 EHJ65611 ERF65611 FBB65611 FKX65611 FUT65611 GEP65611 GOL65611 GYH65611 HID65611 HRZ65611 IBV65611 ILR65611 IVN65611 JFJ65611 JPF65611 JZB65611 KIX65611 KST65611 LCP65611 LML65611 LWH65611 MGD65611 MPZ65611 MZV65611 NJR65611 NTN65611 ODJ65611 ONF65611 OXB65611 PGX65611 PQT65611 QAP65611 QKL65611 QUH65611 RED65611 RNZ65611 RXV65611 SHR65611 SRN65611 TBJ65611 TLF65611 TVB65611 UEX65611 UOT65611 UYP65611 VIL65611 VSH65611 WCD65611 WLZ65611 WVV65611 N131144 JJ131144 TF131144 ADB131144 AMX131144 AWT131144 BGP131144 BQL131144 CAH131144 CKD131144 CTZ131144 DDV131144 DNR131144 DXN131144 EHJ131144 ERF131144 FBB131144 FKX131144 FUT131144 GEP131144 GOL131144 GYH131144 HID131144 HRZ131144 IBV131144 ILR131144 IVN131144 JFJ131144 JPF131144 JZB131144 KIX131144 KST131144 LCP131144 LML131144 LWH131144 MGD131144 MPZ131144 MZV131144 NJR131144 NTN131144 ODJ131144 ONF131144 OXB131144 PGX131144 PQT131144 QAP131144 QKL131144 QUH131144 RED131144 RNZ131144 RXV131144 SHR131144 SRN131144 TBJ131144 TLF131144 TVB131144 UEX131144 UOT131144 UYP131144 VIL131144 VSH131144 WCD131144 WLZ131144 WVV131144 N131147 JJ131147 TF131147 ADB131147 AMX131147 AWT131147 BGP131147 BQL131147 CAH131147 CKD131147 CTZ131147 DDV131147 DNR131147 DXN131147 EHJ131147 ERF131147 FBB131147 FKX131147 FUT131147 GEP131147 GOL131147 GYH131147 HID131147 HRZ131147 IBV131147 ILR131147 IVN131147 JFJ131147 JPF131147 JZB131147 KIX131147 KST131147 LCP131147 LML131147 LWH131147 MGD131147 MPZ131147 MZV131147 NJR131147 NTN131147 ODJ131147 ONF131147 OXB131147 PGX131147 PQT131147 QAP131147 QKL131147 QUH131147 RED131147 RNZ131147 RXV131147 SHR131147 SRN131147 TBJ131147 TLF131147 TVB131147 UEX131147 UOT131147 UYP131147 VIL131147 VSH131147 WCD131147 WLZ131147 WVV131147 N196680 JJ196680 TF196680 ADB196680 AMX196680 AWT196680 BGP196680 BQL196680 CAH196680 CKD196680 CTZ196680 DDV196680 DNR196680 DXN196680 EHJ196680 ERF196680 FBB196680 FKX196680 FUT196680 GEP196680 GOL196680 GYH196680 HID196680 HRZ196680 IBV196680 ILR196680 IVN196680 JFJ196680 JPF196680 JZB196680 KIX196680 KST196680 LCP196680 LML196680 LWH196680 MGD196680 MPZ196680 MZV196680 NJR196680 NTN196680 ODJ196680 ONF196680 OXB196680 PGX196680 PQT196680 QAP196680 QKL196680 QUH196680 RED196680 RNZ196680 RXV196680 SHR196680 SRN196680 TBJ196680 TLF196680 TVB196680 UEX196680 UOT196680 UYP196680 VIL196680 VSH196680 WCD196680 WLZ196680 WVV196680 N196683 JJ196683 TF196683 ADB196683 AMX196683 AWT196683 BGP196683 BQL196683 CAH196683 CKD196683 CTZ196683 DDV196683 DNR196683 DXN196683 EHJ196683 ERF196683 FBB196683 FKX196683 FUT196683 GEP196683 GOL196683 GYH196683 HID196683 HRZ196683 IBV196683 ILR196683 IVN196683 JFJ196683 JPF196683 JZB196683 KIX196683 KST196683 LCP196683 LML196683 LWH196683 MGD196683 MPZ196683 MZV196683 NJR196683 NTN196683 ODJ196683 ONF196683 OXB196683 PGX196683 PQT196683 QAP196683 QKL196683 QUH196683 RED196683 RNZ196683 RXV196683 SHR196683 SRN196683 TBJ196683 TLF196683 TVB196683 UEX196683 UOT196683 UYP196683 VIL196683 VSH196683 WCD196683 WLZ196683 WVV196683 N262216 JJ262216 TF262216 ADB262216 AMX262216 AWT262216 BGP262216 BQL262216 CAH262216 CKD262216 CTZ262216 DDV262216 DNR262216 DXN262216 EHJ262216 ERF262216 FBB262216 FKX262216 FUT262216 GEP262216 GOL262216 GYH262216 HID262216 HRZ262216 IBV262216 ILR262216 IVN262216 JFJ262216 JPF262216 JZB262216 KIX262216 KST262216 LCP262216 LML262216 LWH262216 MGD262216 MPZ262216 MZV262216 NJR262216 NTN262216 ODJ262216 ONF262216 OXB262216 PGX262216 PQT262216 QAP262216 QKL262216 QUH262216 RED262216 RNZ262216 RXV262216 SHR262216 SRN262216 TBJ262216 TLF262216 TVB262216 UEX262216 UOT262216 UYP262216 VIL262216 VSH262216 WCD262216 WLZ262216 WVV262216 N262219 JJ262219 TF262219 ADB262219 AMX262219 AWT262219 BGP262219 BQL262219 CAH262219 CKD262219 CTZ262219 DDV262219 DNR262219 DXN262219 EHJ262219 ERF262219 FBB262219 FKX262219 FUT262219 GEP262219 GOL262219 GYH262219 HID262219 HRZ262219 IBV262219 ILR262219 IVN262219 JFJ262219 JPF262219 JZB262219 KIX262219 KST262219 LCP262219 LML262219 LWH262219 MGD262219 MPZ262219 MZV262219 NJR262219 NTN262219 ODJ262219 ONF262219 OXB262219 PGX262219 PQT262219 QAP262219 QKL262219 QUH262219 RED262219 RNZ262219 RXV262219 SHR262219 SRN262219 TBJ262219 TLF262219 TVB262219 UEX262219 UOT262219 UYP262219 VIL262219 VSH262219 WCD262219 WLZ262219 WVV262219 N327752 JJ327752 TF327752 ADB327752 AMX327752 AWT327752 BGP327752 BQL327752 CAH327752 CKD327752 CTZ327752 DDV327752 DNR327752 DXN327752 EHJ327752 ERF327752 FBB327752 FKX327752 FUT327752 GEP327752 GOL327752 GYH327752 HID327752 HRZ327752 IBV327752 ILR327752 IVN327752 JFJ327752 JPF327752 JZB327752 KIX327752 KST327752 LCP327752 LML327752 LWH327752 MGD327752 MPZ327752 MZV327752 NJR327752 NTN327752 ODJ327752 ONF327752 OXB327752 PGX327752 PQT327752 QAP327752 QKL327752 QUH327752 RED327752 RNZ327752 RXV327752 SHR327752 SRN327752 TBJ327752 TLF327752 TVB327752 UEX327752 UOT327752 UYP327752 VIL327752 VSH327752 WCD327752 WLZ327752 WVV327752 N327755 JJ327755 TF327755 ADB327755 AMX327755 AWT327755 BGP327755 BQL327755 CAH327755 CKD327755 CTZ327755 DDV327755 DNR327755 DXN327755 EHJ327755 ERF327755 FBB327755 FKX327755 FUT327755 GEP327755 GOL327755 GYH327755 HID327755 HRZ327755 IBV327755 ILR327755 IVN327755 JFJ327755 JPF327755 JZB327755 KIX327755 KST327755 LCP327755 LML327755 LWH327755 MGD327755 MPZ327755 MZV327755 NJR327755 NTN327755 ODJ327755 ONF327755 OXB327755 PGX327755 PQT327755 QAP327755 QKL327755 QUH327755 RED327755 RNZ327755 RXV327755 SHR327755 SRN327755 TBJ327755 TLF327755 TVB327755 UEX327755 UOT327755 UYP327755 VIL327755 VSH327755 WCD327755 WLZ327755 WVV327755 N393288 JJ393288 TF393288 ADB393288 AMX393288 AWT393288 BGP393288 BQL393288 CAH393288 CKD393288 CTZ393288 DDV393288 DNR393288 DXN393288 EHJ393288 ERF393288 FBB393288 FKX393288 FUT393288 GEP393288 GOL393288 GYH393288 HID393288 HRZ393288 IBV393288 ILR393288 IVN393288 JFJ393288 JPF393288 JZB393288 KIX393288 KST393288 LCP393288 LML393288 LWH393288 MGD393288 MPZ393288 MZV393288 NJR393288 NTN393288 ODJ393288 ONF393288 OXB393288 PGX393288 PQT393288 QAP393288 QKL393288 QUH393288 RED393288 RNZ393288 RXV393288 SHR393288 SRN393288 TBJ393288 TLF393288 TVB393288 UEX393288 UOT393288 UYP393288 VIL393288 VSH393288 WCD393288 WLZ393288 WVV393288 N393291 JJ393291 TF393291 ADB393291 AMX393291 AWT393291 BGP393291 BQL393291 CAH393291 CKD393291 CTZ393291 DDV393291 DNR393291 DXN393291 EHJ393291 ERF393291 FBB393291 FKX393291 FUT393291 GEP393291 GOL393291 GYH393291 HID393291 HRZ393291 IBV393291 ILR393291 IVN393291 JFJ393291 JPF393291 JZB393291 KIX393291 KST393291 LCP393291 LML393291 LWH393291 MGD393291 MPZ393291 MZV393291 NJR393291 NTN393291 ODJ393291 ONF393291 OXB393291 PGX393291 PQT393291 QAP393291 QKL393291 QUH393291 RED393291 RNZ393291 RXV393291 SHR393291 SRN393291 TBJ393291 TLF393291 TVB393291 UEX393291 UOT393291 UYP393291 VIL393291 VSH393291 WCD393291 WLZ393291 WVV393291 N458824 JJ458824 TF458824 ADB458824 AMX458824 AWT458824 BGP458824 BQL458824 CAH458824 CKD458824 CTZ458824 DDV458824 DNR458824 DXN458824 EHJ458824 ERF458824 FBB458824 FKX458824 FUT458824 GEP458824 GOL458824 GYH458824 HID458824 HRZ458824 IBV458824 ILR458824 IVN458824 JFJ458824 JPF458824 JZB458824 KIX458824 KST458824 LCP458824 LML458824 LWH458824 MGD458824 MPZ458824 MZV458824 NJR458824 NTN458824 ODJ458824 ONF458824 OXB458824 PGX458824 PQT458824 QAP458824 QKL458824 QUH458824 RED458824 RNZ458824 RXV458824 SHR458824 SRN458824 TBJ458824 TLF458824 TVB458824 UEX458824 UOT458824 UYP458824 VIL458824 VSH458824 WCD458824 WLZ458824 WVV458824 N458827 JJ458827 TF458827 ADB458827 AMX458827 AWT458827 BGP458827 BQL458827 CAH458827 CKD458827 CTZ458827 DDV458827 DNR458827 DXN458827 EHJ458827 ERF458827 FBB458827 FKX458827 FUT458827 GEP458827 GOL458827 GYH458827 HID458827 HRZ458827 IBV458827 ILR458827 IVN458827 JFJ458827 JPF458827 JZB458827 KIX458827 KST458827 LCP458827 LML458827 LWH458827 MGD458827 MPZ458827 MZV458827 NJR458827 NTN458827 ODJ458827 ONF458827 OXB458827 PGX458827 PQT458827 QAP458827 QKL458827 QUH458827 RED458827 RNZ458827 RXV458827 SHR458827 SRN458827 TBJ458827 TLF458827 TVB458827 UEX458827 UOT458827 UYP458827 VIL458827 VSH458827 WCD458827 WLZ458827 WVV458827 N524360 JJ524360 TF524360 ADB524360 AMX524360 AWT524360 BGP524360 BQL524360 CAH524360 CKD524360 CTZ524360 DDV524360 DNR524360 DXN524360 EHJ524360 ERF524360 FBB524360 FKX524360 FUT524360 GEP524360 GOL524360 GYH524360 HID524360 HRZ524360 IBV524360 ILR524360 IVN524360 JFJ524360 JPF524360 JZB524360 KIX524360 KST524360 LCP524360 LML524360 LWH524360 MGD524360 MPZ524360 MZV524360 NJR524360 NTN524360 ODJ524360 ONF524360 OXB524360 PGX524360 PQT524360 QAP524360 QKL524360 QUH524360 RED524360 RNZ524360 RXV524360 SHR524360 SRN524360 TBJ524360 TLF524360 TVB524360 UEX524360 UOT524360 UYP524360 VIL524360 VSH524360 WCD524360 WLZ524360 WVV524360 N524363 JJ524363 TF524363 ADB524363 AMX524363 AWT524363 BGP524363 BQL524363 CAH524363 CKD524363 CTZ524363 DDV524363 DNR524363 DXN524363 EHJ524363 ERF524363 FBB524363 FKX524363 FUT524363 GEP524363 GOL524363 GYH524363 HID524363 HRZ524363 IBV524363 ILR524363 IVN524363 JFJ524363 JPF524363 JZB524363 KIX524363 KST524363 LCP524363 LML524363 LWH524363 MGD524363 MPZ524363 MZV524363 NJR524363 NTN524363 ODJ524363 ONF524363 OXB524363 PGX524363 PQT524363 QAP524363 QKL524363 QUH524363 RED524363 RNZ524363 RXV524363 SHR524363 SRN524363 TBJ524363 TLF524363 TVB524363 UEX524363 UOT524363 UYP524363 VIL524363 VSH524363 WCD524363 WLZ524363 WVV524363 N589896 JJ589896 TF589896 ADB589896 AMX589896 AWT589896 BGP589896 BQL589896 CAH589896 CKD589896 CTZ589896 DDV589896 DNR589896 DXN589896 EHJ589896 ERF589896 FBB589896 FKX589896 FUT589896 GEP589896 GOL589896 GYH589896 HID589896 HRZ589896 IBV589896 ILR589896 IVN589896 JFJ589896 JPF589896 JZB589896 KIX589896 KST589896 LCP589896 LML589896 LWH589896 MGD589896 MPZ589896 MZV589896 NJR589896 NTN589896 ODJ589896 ONF589896 OXB589896 PGX589896 PQT589896 QAP589896 QKL589896 QUH589896 RED589896 RNZ589896 RXV589896 SHR589896 SRN589896 TBJ589896 TLF589896 TVB589896 UEX589896 UOT589896 UYP589896 VIL589896 VSH589896 WCD589896 WLZ589896 WVV589896 N589899 JJ589899 TF589899 ADB589899 AMX589899 AWT589899 BGP589899 BQL589899 CAH589899 CKD589899 CTZ589899 DDV589899 DNR589899 DXN589899 EHJ589899 ERF589899 FBB589899 FKX589899 FUT589899 GEP589899 GOL589899 GYH589899 HID589899 HRZ589899 IBV589899 ILR589899 IVN589899 JFJ589899 JPF589899 JZB589899 KIX589899 KST589899 LCP589899 LML589899 LWH589899 MGD589899 MPZ589899 MZV589899 NJR589899 NTN589899 ODJ589899 ONF589899 OXB589899 PGX589899 PQT589899 QAP589899 QKL589899 QUH589899 RED589899 RNZ589899 RXV589899 SHR589899 SRN589899 TBJ589899 TLF589899 TVB589899 UEX589899 UOT589899 UYP589899 VIL589899 VSH589899 WCD589899 WLZ589899 WVV589899 N655432 JJ655432 TF655432 ADB655432 AMX655432 AWT655432 BGP655432 BQL655432 CAH655432 CKD655432 CTZ655432 DDV655432 DNR655432 DXN655432 EHJ655432 ERF655432 FBB655432 FKX655432 FUT655432 GEP655432 GOL655432 GYH655432 HID655432 HRZ655432 IBV655432 ILR655432 IVN655432 JFJ655432 JPF655432 JZB655432 KIX655432 KST655432 LCP655432 LML655432 LWH655432 MGD655432 MPZ655432 MZV655432 NJR655432 NTN655432 ODJ655432 ONF655432 OXB655432 PGX655432 PQT655432 QAP655432 QKL655432 QUH655432 RED655432 RNZ655432 RXV655432 SHR655432 SRN655432 TBJ655432 TLF655432 TVB655432 UEX655432 UOT655432 UYP655432 VIL655432 VSH655432 WCD655432 WLZ655432 WVV655432 N655435 JJ655435 TF655435 ADB655435 AMX655435 AWT655435 BGP655435 BQL655435 CAH655435 CKD655435 CTZ655435 DDV655435 DNR655435 DXN655435 EHJ655435 ERF655435 FBB655435 FKX655435 FUT655435 GEP655435 GOL655435 GYH655435 HID655435 HRZ655435 IBV655435 ILR655435 IVN655435 JFJ655435 JPF655435 JZB655435 KIX655435 KST655435 LCP655435 LML655435 LWH655435 MGD655435 MPZ655435 MZV655435 NJR655435 NTN655435 ODJ655435 ONF655435 OXB655435 PGX655435 PQT655435 QAP655435 QKL655435 QUH655435 RED655435 RNZ655435 RXV655435 SHR655435 SRN655435 TBJ655435 TLF655435 TVB655435 UEX655435 UOT655435 UYP655435 VIL655435 VSH655435 WCD655435 WLZ655435 WVV655435 N720968 JJ720968 TF720968 ADB720968 AMX720968 AWT720968 BGP720968 BQL720968 CAH720968 CKD720968 CTZ720968 DDV720968 DNR720968 DXN720968 EHJ720968 ERF720968 FBB720968 FKX720968 FUT720968 GEP720968 GOL720968 GYH720968 HID720968 HRZ720968 IBV720968 ILR720968 IVN720968 JFJ720968 JPF720968 JZB720968 KIX720968 KST720968 LCP720968 LML720968 LWH720968 MGD720968 MPZ720968 MZV720968 NJR720968 NTN720968 ODJ720968 ONF720968 OXB720968 PGX720968 PQT720968 QAP720968 QKL720968 QUH720968 RED720968 RNZ720968 RXV720968 SHR720968 SRN720968 TBJ720968 TLF720968 TVB720968 UEX720968 UOT720968 UYP720968 VIL720968 VSH720968 WCD720968 WLZ720968 WVV720968 N720971 JJ720971 TF720971 ADB720971 AMX720971 AWT720971 BGP720971 BQL720971 CAH720971 CKD720971 CTZ720971 DDV720971 DNR720971 DXN720971 EHJ720971 ERF720971 FBB720971 FKX720971 FUT720971 GEP720971 GOL720971 GYH720971 HID720971 HRZ720971 IBV720971 ILR720971 IVN720971 JFJ720971 JPF720971 JZB720971 KIX720971 KST720971 LCP720971 LML720971 LWH720971 MGD720971 MPZ720971 MZV720971 NJR720971 NTN720971 ODJ720971 ONF720971 OXB720971 PGX720971 PQT720971 QAP720971 QKL720971 QUH720971 RED720971 RNZ720971 RXV720971 SHR720971 SRN720971 TBJ720971 TLF720971 TVB720971 UEX720971 UOT720971 UYP720971 VIL720971 VSH720971 WCD720971 WLZ720971 WVV720971 N786504 JJ786504 TF786504 ADB786504 AMX786504 AWT786504 BGP786504 BQL786504 CAH786504 CKD786504 CTZ786504 DDV786504 DNR786504 DXN786504 EHJ786504 ERF786504 FBB786504 FKX786504 FUT786504 GEP786504 GOL786504 GYH786504 HID786504 HRZ786504 IBV786504 ILR786504 IVN786504 JFJ786504 JPF786504 JZB786504 KIX786504 KST786504 LCP786504 LML786504 LWH786504 MGD786504 MPZ786504 MZV786504 NJR786504 NTN786504 ODJ786504 ONF786504 OXB786504 PGX786504 PQT786504 QAP786504 QKL786504 QUH786504 RED786504 RNZ786504 RXV786504 SHR786504 SRN786504 TBJ786504 TLF786504 TVB786504 UEX786504 UOT786504 UYP786504 VIL786504 VSH786504 WCD786504 WLZ786504 WVV786504 N786507 JJ786507 TF786507 ADB786507 AMX786507 AWT786507 BGP786507 BQL786507 CAH786507 CKD786507 CTZ786507 DDV786507 DNR786507 DXN786507 EHJ786507 ERF786507 FBB786507 FKX786507 FUT786507 GEP786507 GOL786507 GYH786507 HID786507 HRZ786507 IBV786507 ILR786507 IVN786507 JFJ786507 JPF786507 JZB786507 KIX786507 KST786507 LCP786507 LML786507 LWH786507 MGD786507 MPZ786507 MZV786507 NJR786507 NTN786507 ODJ786507 ONF786507 OXB786507 PGX786507 PQT786507 QAP786507 QKL786507 QUH786507 RED786507 RNZ786507 RXV786507 SHR786507 SRN786507 TBJ786507 TLF786507 TVB786507 UEX786507 UOT786507 UYP786507 VIL786507 VSH786507 WCD786507 WLZ786507 WVV786507 N852040 JJ852040 TF852040 ADB852040 AMX852040 AWT852040 BGP852040 BQL852040 CAH852040 CKD852040 CTZ852040 DDV852040 DNR852040 DXN852040 EHJ852040 ERF852040 FBB852040 FKX852040 FUT852040 GEP852040 GOL852040 GYH852040 HID852040 HRZ852040 IBV852040 ILR852040 IVN852040 JFJ852040 JPF852040 JZB852040 KIX852040 KST852040 LCP852040 LML852040 LWH852040 MGD852040 MPZ852040 MZV852040 NJR852040 NTN852040 ODJ852040 ONF852040 OXB852040 PGX852040 PQT852040 QAP852040 QKL852040 QUH852040 RED852040 RNZ852040 RXV852040 SHR852040 SRN852040 TBJ852040 TLF852040 TVB852040 UEX852040 UOT852040 UYP852040 VIL852040 VSH852040 WCD852040 WLZ852040 WVV852040 N852043 JJ852043 TF852043 ADB852043 AMX852043 AWT852043 BGP852043 BQL852043 CAH852043 CKD852043 CTZ852043 DDV852043 DNR852043 DXN852043 EHJ852043 ERF852043 FBB852043 FKX852043 FUT852043 GEP852043 GOL852043 GYH852043 HID852043 HRZ852043 IBV852043 ILR852043 IVN852043 JFJ852043 JPF852043 JZB852043 KIX852043 KST852043 LCP852043 LML852043 LWH852043 MGD852043 MPZ852043 MZV852043 NJR852043 NTN852043 ODJ852043 ONF852043 OXB852043 PGX852043 PQT852043 QAP852043 QKL852043 QUH852043 RED852043 RNZ852043 RXV852043 SHR852043 SRN852043 TBJ852043 TLF852043 TVB852043 UEX852043 UOT852043 UYP852043 VIL852043 VSH852043 WCD852043 WLZ852043 WVV852043 N917576 JJ917576 TF917576 ADB917576 AMX917576 AWT917576 BGP917576 BQL917576 CAH917576 CKD917576 CTZ917576 DDV917576 DNR917576 DXN917576 EHJ917576 ERF917576 FBB917576 FKX917576 FUT917576 GEP917576 GOL917576 GYH917576 HID917576 HRZ917576 IBV917576 ILR917576 IVN917576 JFJ917576 JPF917576 JZB917576 KIX917576 KST917576 LCP917576 LML917576 LWH917576 MGD917576 MPZ917576 MZV917576 NJR917576 NTN917576 ODJ917576 ONF917576 OXB917576 PGX917576 PQT917576 QAP917576 QKL917576 QUH917576 RED917576 RNZ917576 RXV917576 SHR917576 SRN917576 TBJ917576 TLF917576 TVB917576 UEX917576 UOT917576 UYP917576 VIL917576 VSH917576 WCD917576 WLZ917576 WVV917576 N917579 JJ917579 TF917579 ADB917579 AMX917579 AWT917579 BGP917579 BQL917579 CAH917579 CKD917579 CTZ917579 DDV917579 DNR917579 DXN917579 EHJ917579 ERF917579 FBB917579 FKX917579 FUT917579 GEP917579 GOL917579 GYH917579 HID917579 HRZ917579 IBV917579 ILR917579 IVN917579 JFJ917579 JPF917579 JZB917579 KIX917579 KST917579 LCP917579 LML917579 LWH917579 MGD917579 MPZ917579 MZV917579 NJR917579 NTN917579 ODJ917579 ONF917579 OXB917579 PGX917579 PQT917579 QAP917579 QKL917579 QUH917579 RED917579 RNZ917579 RXV917579 SHR917579 SRN917579 TBJ917579 TLF917579 TVB917579 UEX917579 UOT917579 UYP917579 VIL917579 VSH917579 WCD917579 WLZ917579 WVV917579 N983112 JJ983112 TF983112 ADB983112 AMX983112 AWT983112 BGP983112 BQL983112 CAH983112 CKD983112 CTZ983112 DDV983112 DNR983112 DXN983112 EHJ983112 ERF983112 FBB983112 FKX983112 FUT983112 GEP983112 GOL983112 GYH983112 HID983112 HRZ983112 IBV983112 ILR983112 IVN983112 JFJ983112 JPF983112 JZB983112 KIX983112 KST983112 LCP983112 LML983112 LWH983112 MGD983112 MPZ983112 MZV983112 NJR983112 NTN983112 ODJ983112 ONF983112 OXB983112 PGX983112 PQT983112 QAP983112 QKL983112 QUH983112 RED983112 RNZ983112 RXV983112 SHR983112 SRN983112 TBJ983112 TLF983112 TVB983112 UEX983112 UOT983112 UYP983112 VIL983112 VSH983112 WCD983112 WLZ983112 WVV983112 N983115 JJ983115 TF983115 ADB983115 AMX983115 AWT983115 BGP983115 BQL983115 CAH983115 CKD983115 CTZ983115 DDV983115 DNR983115 DXN983115 EHJ983115 ERF983115 FBB983115 FKX983115 FUT983115 GEP983115 GOL983115 GYH983115 HID983115 HRZ983115 IBV983115 ILR983115 IVN983115 JFJ983115 JPF983115 JZB983115 KIX983115 KST983115 LCP983115 LML983115 LWH983115 MGD983115 MPZ983115 MZV983115 NJR983115 NTN983115 ODJ983115 ONF983115 OXB983115 PGX983115 PQT983115 QAP983115 QKL983115 QUH983115 RED983115 RNZ983115 RXV983115 SHR983115 SRN983115 TBJ983115 TLF983115 TVB983115 UEX983115 UOT983115 UYP983115 VIL983115 VSH983115 WCD983115 WLZ983115 WVV983115">
      <formula1>1</formula1>
    </dataValidation>
    <dataValidation type="whole" operator="lessThanOrEqual" allowBlank="1" showInputMessage="1" showErrorMessage="1" sqref="N54:N55 N65590:N65591 N131126:N131127 N196662:N196663 N262198:N262199 N327734:N327735 N393270:N393271 N458806:N458807 N524342:N524343 N589878:N589879 N655414:N655415 N720950:N720951 N786486:N786487 N852022:N852023 N917558:N917559 N983094:N983095 JJ54:JJ55 JJ65590:JJ65591 JJ131126:JJ131127 JJ196662:JJ196663 JJ262198:JJ262199 JJ327734:JJ327735 JJ393270:JJ393271 JJ458806:JJ458807 JJ524342:JJ524343 JJ589878:JJ589879 JJ655414:JJ655415 JJ720950:JJ720951 JJ786486:JJ786487 JJ852022:JJ852023 JJ917558:JJ917559 JJ983094:JJ983095 TF54:TF55 TF65590:TF65591 TF131126:TF131127 TF196662:TF196663 TF262198:TF262199 TF327734:TF327735 TF393270:TF393271 TF458806:TF458807 TF524342:TF524343 TF589878:TF589879 TF655414:TF655415 TF720950:TF720951 TF786486:TF786487 TF852022:TF852023 TF917558:TF917559 TF983094:TF983095 ADB54:ADB55 ADB65590:ADB65591 ADB131126:ADB131127 ADB196662:ADB196663 ADB262198:ADB262199 ADB327734:ADB327735 ADB393270:ADB393271 ADB458806:ADB458807 ADB524342:ADB524343 ADB589878:ADB589879 ADB655414:ADB655415 ADB720950:ADB720951 ADB786486:ADB786487 ADB852022:ADB852023 ADB917558:ADB917559 ADB983094:ADB983095 AMX54:AMX55 AMX65590:AMX65591 AMX131126:AMX131127 AMX196662:AMX196663 AMX262198:AMX262199 AMX327734:AMX327735 AMX393270:AMX393271 AMX458806:AMX458807 AMX524342:AMX524343 AMX589878:AMX589879 AMX655414:AMX655415 AMX720950:AMX720951 AMX786486:AMX786487 AMX852022:AMX852023 AMX917558:AMX917559 AMX983094:AMX983095 AWT54:AWT55 AWT65590:AWT65591 AWT131126:AWT131127 AWT196662:AWT196663 AWT262198:AWT262199 AWT327734:AWT327735 AWT393270:AWT393271 AWT458806:AWT458807 AWT524342:AWT524343 AWT589878:AWT589879 AWT655414:AWT655415 AWT720950:AWT720951 AWT786486:AWT786487 AWT852022:AWT852023 AWT917558:AWT917559 AWT983094:AWT983095 BGP54:BGP55 BGP65590:BGP65591 BGP131126:BGP131127 BGP196662:BGP196663 BGP262198:BGP262199 BGP327734:BGP327735 BGP393270:BGP393271 BGP458806:BGP458807 BGP524342:BGP524343 BGP589878:BGP589879 BGP655414:BGP655415 BGP720950:BGP720951 BGP786486:BGP786487 BGP852022:BGP852023 BGP917558:BGP917559 BGP983094:BGP983095 BQL54:BQL55 BQL65590:BQL65591 BQL131126:BQL131127 BQL196662:BQL196663 BQL262198:BQL262199 BQL327734:BQL327735 BQL393270:BQL393271 BQL458806:BQL458807 BQL524342:BQL524343 BQL589878:BQL589879 BQL655414:BQL655415 BQL720950:BQL720951 BQL786486:BQL786487 BQL852022:BQL852023 BQL917558:BQL917559 BQL983094:BQL983095 CAH54:CAH55 CAH65590:CAH65591 CAH131126:CAH131127 CAH196662:CAH196663 CAH262198:CAH262199 CAH327734:CAH327735 CAH393270:CAH393271 CAH458806:CAH458807 CAH524342:CAH524343 CAH589878:CAH589879 CAH655414:CAH655415 CAH720950:CAH720951 CAH786486:CAH786487 CAH852022:CAH852023 CAH917558:CAH917559 CAH983094:CAH983095 CKD54:CKD55 CKD65590:CKD65591 CKD131126:CKD131127 CKD196662:CKD196663 CKD262198:CKD262199 CKD327734:CKD327735 CKD393270:CKD393271 CKD458806:CKD458807 CKD524342:CKD524343 CKD589878:CKD589879 CKD655414:CKD655415 CKD720950:CKD720951 CKD786486:CKD786487 CKD852022:CKD852023 CKD917558:CKD917559 CKD983094:CKD983095 CTZ54:CTZ55 CTZ65590:CTZ65591 CTZ131126:CTZ131127 CTZ196662:CTZ196663 CTZ262198:CTZ262199 CTZ327734:CTZ327735 CTZ393270:CTZ393271 CTZ458806:CTZ458807 CTZ524342:CTZ524343 CTZ589878:CTZ589879 CTZ655414:CTZ655415 CTZ720950:CTZ720951 CTZ786486:CTZ786487 CTZ852022:CTZ852023 CTZ917558:CTZ917559 CTZ983094:CTZ983095 DDV54:DDV55 DDV65590:DDV65591 DDV131126:DDV131127 DDV196662:DDV196663 DDV262198:DDV262199 DDV327734:DDV327735 DDV393270:DDV393271 DDV458806:DDV458807 DDV524342:DDV524343 DDV589878:DDV589879 DDV655414:DDV655415 DDV720950:DDV720951 DDV786486:DDV786487 DDV852022:DDV852023 DDV917558:DDV917559 DDV983094:DDV983095 DNR54:DNR55 DNR65590:DNR65591 DNR131126:DNR131127 DNR196662:DNR196663 DNR262198:DNR262199 DNR327734:DNR327735 DNR393270:DNR393271 DNR458806:DNR458807 DNR524342:DNR524343 DNR589878:DNR589879 DNR655414:DNR655415 DNR720950:DNR720951 DNR786486:DNR786487 DNR852022:DNR852023 DNR917558:DNR917559 DNR983094:DNR983095 DXN54:DXN55 DXN65590:DXN65591 DXN131126:DXN131127 DXN196662:DXN196663 DXN262198:DXN262199 DXN327734:DXN327735 DXN393270:DXN393271 DXN458806:DXN458807 DXN524342:DXN524343 DXN589878:DXN589879 DXN655414:DXN655415 DXN720950:DXN720951 DXN786486:DXN786487 DXN852022:DXN852023 DXN917558:DXN917559 DXN983094:DXN983095 EHJ54:EHJ55 EHJ65590:EHJ65591 EHJ131126:EHJ131127 EHJ196662:EHJ196663 EHJ262198:EHJ262199 EHJ327734:EHJ327735 EHJ393270:EHJ393271 EHJ458806:EHJ458807 EHJ524342:EHJ524343 EHJ589878:EHJ589879 EHJ655414:EHJ655415 EHJ720950:EHJ720951 EHJ786486:EHJ786487 EHJ852022:EHJ852023 EHJ917558:EHJ917559 EHJ983094:EHJ983095 ERF54:ERF55 ERF65590:ERF65591 ERF131126:ERF131127 ERF196662:ERF196663 ERF262198:ERF262199 ERF327734:ERF327735 ERF393270:ERF393271 ERF458806:ERF458807 ERF524342:ERF524343 ERF589878:ERF589879 ERF655414:ERF655415 ERF720950:ERF720951 ERF786486:ERF786487 ERF852022:ERF852023 ERF917558:ERF917559 ERF983094:ERF983095 FBB54:FBB55 FBB65590:FBB65591 FBB131126:FBB131127 FBB196662:FBB196663 FBB262198:FBB262199 FBB327734:FBB327735 FBB393270:FBB393271 FBB458806:FBB458807 FBB524342:FBB524343 FBB589878:FBB589879 FBB655414:FBB655415 FBB720950:FBB720951 FBB786486:FBB786487 FBB852022:FBB852023 FBB917558:FBB917559 FBB983094:FBB983095 FKX54:FKX55 FKX65590:FKX65591 FKX131126:FKX131127 FKX196662:FKX196663 FKX262198:FKX262199 FKX327734:FKX327735 FKX393270:FKX393271 FKX458806:FKX458807 FKX524342:FKX524343 FKX589878:FKX589879 FKX655414:FKX655415 FKX720950:FKX720951 FKX786486:FKX786487 FKX852022:FKX852023 FKX917558:FKX917559 FKX983094:FKX983095 FUT54:FUT55 FUT65590:FUT65591 FUT131126:FUT131127 FUT196662:FUT196663 FUT262198:FUT262199 FUT327734:FUT327735 FUT393270:FUT393271 FUT458806:FUT458807 FUT524342:FUT524343 FUT589878:FUT589879 FUT655414:FUT655415 FUT720950:FUT720951 FUT786486:FUT786487 FUT852022:FUT852023 FUT917558:FUT917559 FUT983094:FUT983095 GEP54:GEP55 GEP65590:GEP65591 GEP131126:GEP131127 GEP196662:GEP196663 GEP262198:GEP262199 GEP327734:GEP327735 GEP393270:GEP393271 GEP458806:GEP458807 GEP524342:GEP524343 GEP589878:GEP589879 GEP655414:GEP655415 GEP720950:GEP720951 GEP786486:GEP786487 GEP852022:GEP852023 GEP917558:GEP917559 GEP983094:GEP983095 GOL54:GOL55 GOL65590:GOL65591 GOL131126:GOL131127 GOL196662:GOL196663 GOL262198:GOL262199 GOL327734:GOL327735 GOL393270:GOL393271 GOL458806:GOL458807 GOL524342:GOL524343 GOL589878:GOL589879 GOL655414:GOL655415 GOL720950:GOL720951 GOL786486:GOL786487 GOL852022:GOL852023 GOL917558:GOL917559 GOL983094:GOL983095 GYH54:GYH55 GYH65590:GYH65591 GYH131126:GYH131127 GYH196662:GYH196663 GYH262198:GYH262199 GYH327734:GYH327735 GYH393270:GYH393271 GYH458806:GYH458807 GYH524342:GYH524343 GYH589878:GYH589879 GYH655414:GYH655415 GYH720950:GYH720951 GYH786486:GYH786487 GYH852022:GYH852023 GYH917558:GYH917559 GYH983094:GYH983095 HID54:HID55 HID65590:HID65591 HID131126:HID131127 HID196662:HID196663 HID262198:HID262199 HID327734:HID327735 HID393270:HID393271 HID458806:HID458807 HID524342:HID524343 HID589878:HID589879 HID655414:HID655415 HID720950:HID720951 HID786486:HID786487 HID852022:HID852023 HID917558:HID917559 HID983094:HID983095 HRZ54:HRZ55 HRZ65590:HRZ65591 HRZ131126:HRZ131127 HRZ196662:HRZ196663 HRZ262198:HRZ262199 HRZ327734:HRZ327735 HRZ393270:HRZ393271 HRZ458806:HRZ458807 HRZ524342:HRZ524343 HRZ589878:HRZ589879 HRZ655414:HRZ655415 HRZ720950:HRZ720951 HRZ786486:HRZ786487 HRZ852022:HRZ852023 HRZ917558:HRZ917559 HRZ983094:HRZ983095 IBV54:IBV55 IBV65590:IBV65591 IBV131126:IBV131127 IBV196662:IBV196663 IBV262198:IBV262199 IBV327734:IBV327735 IBV393270:IBV393271 IBV458806:IBV458807 IBV524342:IBV524343 IBV589878:IBV589879 IBV655414:IBV655415 IBV720950:IBV720951 IBV786486:IBV786487 IBV852022:IBV852023 IBV917558:IBV917559 IBV983094:IBV983095 ILR54:ILR55 ILR65590:ILR65591 ILR131126:ILR131127 ILR196662:ILR196663 ILR262198:ILR262199 ILR327734:ILR327735 ILR393270:ILR393271 ILR458806:ILR458807 ILR524342:ILR524343 ILR589878:ILR589879 ILR655414:ILR655415 ILR720950:ILR720951 ILR786486:ILR786487 ILR852022:ILR852023 ILR917558:ILR917559 ILR983094:ILR983095 IVN54:IVN55 IVN65590:IVN65591 IVN131126:IVN131127 IVN196662:IVN196663 IVN262198:IVN262199 IVN327734:IVN327735 IVN393270:IVN393271 IVN458806:IVN458807 IVN524342:IVN524343 IVN589878:IVN589879 IVN655414:IVN655415 IVN720950:IVN720951 IVN786486:IVN786487 IVN852022:IVN852023 IVN917558:IVN917559 IVN983094:IVN983095 JFJ54:JFJ55 JFJ65590:JFJ65591 JFJ131126:JFJ131127 JFJ196662:JFJ196663 JFJ262198:JFJ262199 JFJ327734:JFJ327735 JFJ393270:JFJ393271 JFJ458806:JFJ458807 JFJ524342:JFJ524343 JFJ589878:JFJ589879 JFJ655414:JFJ655415 JFJ720950:JFJ720951 JFJ786486:JFJ786487 JFJ852022:JFJ852023 JFJ917558:JFJ917559 JFJ983094:JFJ983095 JPF54:JPF55 JPF65590:JPF65591 JPF131126:JPF131127 JPF196662:JPF196663 JPF262198:JPF262199 JPF327734:JPF327735 JPF393270:JPF393271 JPF458806:JPF458807 JPF524342:JPF524343 JPF589878:JPF589879 JPF655414:JPF655415 JPF720950:JPF720951 JPF786486:JPF786487 JPF852022:JPF852023 JPF917558:JPF917559 JPF983094:JPF983095 JZB54:JZB55 JZB65590:JZB65591 JZB131126:JZB131127 JZB196662:JZB196663 JZB262198:JZB262199 JZB327734:JZB327735 JZB393270:JZB393271 JZB458806:JZB458807 JZB524342:JZB524343 JZB589878:JZB589879 JZB655414:JZB655415 JZB720950:JZB720951 JZB786486:JZB786487 JZB852022:JZB852023 JZB917558:JZB917559 JZB983094:JZB983095 KIX54:KIX55 KIX65590:KIX65591 KIX131126:KIX131127 KIX196662:KIX196663 KIX262198:KIX262199 KIX327734:KIX327735 KIX393270:KIX393271 KIX458806:KIX458807 KIX524342:KIX524343 KIX589878:KIX589879 KIX655414:KIX655415 KIX720950:KIX720951 KIX786486:KIX786487 KIX852022:KIX852023 KIX917558:KIX917559 KIX983094:KIX983095 KST54:KST55 KST65590:KST65591 KST131126:KST131127 KST196662:KST196663 KST262198:KST262199 KST327734:KST327735 KST393270:KST393271 KST458806:KST458807 KST524342:KST524343 KST589878:KST589879 KST655414:KST655415 KST720950:KST720951 KST786486:KST786487 KST852022:KST852023 KST917558:KST917559 KST983094:KST983095 LCP54:LCP55 LCP65590:LCP65591 LCP131126:LCP131127 LCP196662:LCP196663 LCP262198:LCP262199 LCP327734:LCP327735 LCP393270:LCP393271 LCP458806:LCP458807 LCP524342:LCP524343 LCP589878:LCP589879 LCP655414:LCP655415 LCP720950:LCP720951 LCP786486:LCP786487 LCP852022:LCP852023 LCP917558:LCP917559 LCP983094:LCP983095 LML54:LML55 LML65590:LML65591 LML131126:LML131127 LML196662:LML196663 LML262198:LML262199 LML327734:LML327735 LML393270:LML393271 LML458806:LML458807 LML524342:LML524343 LML589878:LML589879 LML655414:LML655415 LML720950:LML720951 LML786486:LML786487 LML852022:LML852023 LML917558:LML917559 LML983094:LML983095 LWH54:LWH55 LWH65590:LWH65591 LWH131126:LWH131127 LWH196662:LWH196663 LWH262198:LWH262199 LWH327734:LWH327735 LWH393270:LWH393271 LWH458806:LWH458807 LWH524342:LWH524343 LWH589878:LWH589879 LWH655414:LWH655415 LWH720950:LWH720951 LWH786486:LWH786487 LWH852022:LWH852023 LWH917558:LWH917559 LWH983094:LWH983095 MGD54:MGD55 MGD65590:MGD65591 MGD131126:MGD131127 MGD196662:MGD196663 MGD262198:MGD262199 MGD327734:MGD327735 MGD393270:MGD393271 MGD458806:MGD458807 MGD524342:MGD524343 MGD589878:MGD589879 MGD655414:MGD655415 MGD720950:MGD720951 MGD786486:MGD786487 MGD852022:MGD852023 MGD917558:MGD917559 MGD983094:MGD983095 MPZ54:MPZ55 MPZ65590:MPZ65591 MPZ131126:MPZ131127 MPZ196662:MPZ196663 MPZ262198:MPZ262199 MPZ327734:MPZ327735 MPZ393270:MPZ393271 MPZ458806:MPZ458807 MPZ524342:MPZ524343 MPZ589878:MPZ589879 MPZ655414:MPZ655415 MPZ720950:MPZ720951 MPZ786486:MPZ786487 MPZ852022:MPZ852023 MPZ917558:MPZ917559 MPZ983094:MPZ983095 MZV54:MZV55 MZV65590:MZV65591 MZV131126:MZV131127 MZV196662:MZV196663 MZV262198:MZV262199 MZV327734:MZV327735 MZV393270:MZV393271 MZV458806:MZV458807 MZV524342:MZV524343 MZV589878:MZV589879 MZV655414:MZV655415 MZV720950:MZV720951 MZV786486:MZV786487 MZV852022:MZV852023 MZV917558:MZV917559 MZV983094:MZV983095 NJR54:NJR55 NJR65590:NJR65591 NJR131126:NJR131127 NJR196662:NJR196663 NJR262198:NJR262199 NJR327734:NJR327735 NJR393270:NJR393271 NJR458806:NJR458807 NJR524342:NJR524343 NJR589878:NJR589879 NJR655414:NJR655415 NJR720950:NJR720951 NJR786486:NJR786487 NJR852022:NJR852023 NJR917558:NJR917559 NJR983094:NJR983095 NTN54:NTN55 NTN65590:NTN65591 NTN131126:NTN131127 NTN196662:NTN196663 NTN262198:NTN262199 NTN327734:NTN327735 NTN393270:NTN393271 NTN458806:NTN458807 NTN524342:NTN524343 NTN589878:NTN589879 NTN655414:NTN655415 NTN720950:NTN720951 NTN786486:NTN786487 NTN852022:NTN852023 NTN917558:NTN917559 NTN983094:NTN983095 ODJ54:ODJ55 ODJ65590:ODJ65591 ODJ131126:ODJ131127 ODJ196662:ODJ196663 ODJ262198:ODJ262199 ODJ327734:ODJ327735 ODJ393270:ODJ393271 ODJ458806:ODJ458807 ODJ524342:ODJ524343 ODJ589878:ODJ589879 ODJ655414:ODJ655415 ODJ720950:ODJ720951 ODJ786486:ODJ786487 ODJ852022:ODJ852023 ODJ917558:ODJ917559 ODJ983094:ODJ983095 ONF54:ONF55 ONF65590:ONF65591 ONF131126:ONF131127 ONF196662:ONF196663 ONF262198:ONF262199 ONF327734:ONF327735 ONF393270:ONF393271 ONF458806:ONF458807 ONF524342:ONF524343 ONF589878:ONF589879 ONF655414:ONF655415 ONF720950:ONF720951 ONF786486:ONF786487 ONF852022:ONF852023 ONF917558:ONF917559 ONF983094:ONF983095 OXB54:OXB55 OXB65590:OXB65591 OXB131126:OXB131127 OXB196662:OXB196663 OXB262198:OXB262199 OXB327734:OXB327735 OXB393270:OXB393271 OXB458806:OXB458807 OXB524342:OXB524343 OXB589878:OXB589879 OXB655414:OXB655415 OXB720950:OXB720951 OXB786486:OXB786487 OXB852022:OXB852023 OXB917558:OXB917559 OXB983094:OXB983095 PGX54:PGX55 PGX65590:PGX65591 PGX131126:PGX131127 PGX196662:PGX196663 PGX262198:PGX262199 PGX327734:PGX327735 PGX393270:PGX393271 PGX458806:PGX458807 PGX524342:PGX524343 PGX589878:PGX589879 PGX655414:PGX655415 PGX720950:PGX720951 PGX786486:PGX786487 PGX852022:PGX852023 PGX917558:PGX917559 PGX983094:PGX983095 PQT54:PQT55 PQT65590:PQT65591 PQT131126:PQT131127 PQT196662:PQT196663 PQT262198:PQT262199 PQT327734:PQT327735 PQT393270:PQT393271 PQT458806:PQT458807 PQT524342:PQT524343 PQT589878:PQT589879 PQT655414:PQT655415 PQT720950:PQT720951 PQT786486:PQT786487 PQT852022:PQT852023 PQT917558:PQT917559 PQT983094:PQT983095 QAP54:QAP55 QAP65590:QAP65591 QAP131126:QAP131127 QAP196662:QAP196663 QAP262198:QAP262199 QAP327734:QAP327735 QAP393270:QAP393271 QAP458806:QAP458807 QAP524342:QAP524343 QAP589878:QAP589879 QAP655414:QAP655415 QAP720950:QAP720951 QAP786486:QAP786487 QAP852022:QAP852023 QAP917558:QAP917559 QAP983094:QAP983095 QKL54:QKL55 QKL65590:QKL65591 QKL131126:QKL131127 QKL196662:QKL196663 QKL262198:QKL262199 QKL327734:QKL327735 QKL393270:QKL393271 QKL458806:QKL458807 QKL524342:QKL524343 QKL589878:QKL589879 QKL655414:QKL655415 QKL720950:QKL720951 QKL786486:QKL786487 QKL852022:QKL852023 QKL917558:QKL917559 QKL983094:QKL983095 QUH54:QUH55 QUH65590:QUH65591 QUH131126:QUH131127 QUH196662:QUH196663 QUH262198:QUH262199 QUH327734:QUH327735 QUH393270:QUH393271 QUH458806:QUH458807 QUH524342:QUH524343 QUH589878:QUH589879 QUH655414:QUH655415 QUH720950:QUH720951 QUH786486:QUH786487 QUH852022:QUH852023 QUH917558:QUH917559 QUH983094:QUH983095 RED54:RED55 RED65590:RED65591 RED131126:RED131127 RED196662:RED196663 RED262198:RED262199 RED327734:RED327735 RED393270:RED393271 RED458806:RED458807 RED524342:RED524343 RED589878:RED589879 RED655414:RED655415 RED720950:RED720951 RED786486:RED786487 RED852022:RED852023 RED917558:RED917559 RED983094:RED983095 RNZ54:RNZ55 RNZ65590:RNZ65591 RNZ131126:RNZ131127 RNZ196662:RNZ196663 RNZ262198:RNZ262199 RNZ327734:RNZ327735 RNZ393270:RNZ393271 RNZ458806:RNZ458807 RNZ524342:RNZ524343 RNZ589878:RNZ589879 RNZ655414:RNZ655415 RNZ720950:RNZ720951 RNZ786486:RNZ786487 RNZ852022:RNZ852023 RNZ917558:RNZ917559 RNZ983094:RNZ983095 RXV54:RXV55 RXV65590:RXV65591 RXV131126:RXV131127 RXV196662:RXV196663 RXV262198:RXV262199 RXV327734:RXV327735 RXV393270:RXV393271 RXV458806:RXV458807 RXV524342:RXV524343 RXV589878:RXV589879 RXV655414:RXV655415 RXV720950:RXV720951 RXV786486:RXV786487 RXV852022:RXV852023 RXV917558:RXV917559 RXV983094:RXV983095 SHR54:SHR55 SHR65590:SHR65591 SHR131126:SHR131127 SHR196662:SHR196663 SHR262198:SHR262199 SHR327734:SHR327735 SHR393270:SHR393271 SHR458806:SHR458807 SHR524342:SHR524343 SHR589878:SHR589879 SHR655414:SHR655415 SHR720950:SHR720951 SHR786486:SHR786487 SHR852022:SHR852023 SHR917558:SHR917559 SHR983094:SHR983095 SRN54:SRN55 SRN65590:SRN65591 SRN131126:SRN131127 SRN196662:SRN196663 SRN262198:SRN262199 SRN327734:SRN327735 SRN393270:SRN393271 SRN458806:SRN458807 SRN524342:SRN524343 SRN589878:SRN589879 SRN655414:SRN655415 SRN720950:SRN720951 SRN786486:SRN786487 SRN852022:SRN852023 SRN917558:SRN917559 SRN983094:SRN983095 TBJ54:TBJ55 TBJ65590:TBJ65591 TBJ131126:TBJ131127 TBJ196662:TBJ196663 TBJ262198:TBJ262199 TBJ327734:TBJ327735 TBJ393270:TBJ393271 TBJ458806:TBJ458807 TBJ524342:TBJ524343 TBJ589878:TBJ589879 TBJ655414:TBJ655415 TBJ720950:TBJ720951 TBJ786486:TBJ786487 TBJ852022:TBJ852023 TBJ917558:TBJ917559 TBJ983094:TBJ983095 TLF54:TLF55 TLF65590:TLF65591 TLF131126:TLF131127 TLF196662:TLF196663 TLF262198:TLF262199 TLF327734:TLF327735 TLF393270:TLF393271 TLF458806:TLF458807 TLF524342:TLF524343 TLF589878:TLF589879 TLF655414:TLF655415 TLF720950:TLF720951 TLF786486:TLF786487 TLF852022:TLF852023 TLF917558:TLF917559 TLF983094:TLF983095 TVB54:TVB55 TVB65590:TVB65591 TVB131126:TVB131127 TVB196662:TVB196663 TVB262198:TVB262199 TVB327734:TVB327735 TVB393270:TVB393271 TVB458806:TVB458807 TVB524342:TVB524343 TVB589878:TVB589879 TVB655414:TVB655415 TVB720950:TVB720951 TVB786486:TVB786487 TVB852022:TVB852023 TVB917558:TVB917559 TVB983094:TVB983095 UEX54:UEX55 UEX65590:UEX65591 UEX131126:UEX131127 UEX196662:UEX196663 UEX262198:UEX262199 UEX327734:UEX327735 UEX393270:UEX393271 UEX458806:UEX458807 UEX524342:UEX524343 UEX589878:UEX589879 UEX655414:UEX655415 UEX720950:UEX720951 UEX786486:UEX786487 UEX852022:UEX852023 UEX917558:UEX917559 UEX983094:UEX983095 UOT54:UOT55 UOT65590:UOT65591 UOT131126:UOT131127 UOT196662:UOT196663 UOT262198:UOT262199 UOT327734:UOT327735 UOT393270:UOT393271 UOT458806:UOT458807 UOT524342:UOT524343 UOT589878:UOT589879 UOT655414:UOT655415 UOT720950:UOT720951 UOT786486:UOT786487 UOT852022:UOT852023 UOT917558:UOT917559 UOT983094:UOT983095 UYP54:UYP55 UYP65590:UYP65591 UYP131126:UYP131127 UYP196662:UYP196663 UYP262198:UYP262199 UYP327734:UYP327735 UYP393270:UYP393271 UYP458806:UYP458807 UYP524342:UYP524343 UYP589878:UYP589879 UYP655414:UYP655415 UYP720950:UYP720951 UYP786486:UYP786487 UYP852022:UYP852023 UYP917558:UYP917559 UYP983094:UYP983095 VIL54:VIL55 VIL65590:VIL65591 VIL131126:VIL131127 VIL196662:VIL196663 VIL262198:VIL262199 VIL327734:VIL327735 VIL393270:VIL393271 VIL458806:VIL458807 VIL524342:VIL524343 VIL589878:VIL589879 VIL655414:VIL655415 VIL720950:VIL720951 VIL786486:VIL786487 VIL852022:VIL852023 VIL917558:VIL917559 VIL983094:VIL983095 VSH54:VSH55 VSH65590:VSH65591 VSH131126:VSH131127 VSH196662:VSH196663 VSH262198:VSH262199 VSH327734:VSH327735 VSH393270:VSH393271 VSH458806:VSH458807 VSH524342:VSH524343 VSH589878:VSH589879 VSH655414:VSH655415 VSH720950:VSH720951 VSH786486:VSH786487 VSH852022:VSH852023 VSH917558:VSH917559 VSH983094:VSH983095 WCD54:WCD55 WCD65590:WCD65591 WCD131126:WCD131127 WCD196662:WCD196663 WCD262198:WCD262199 WCD327734:WCD327735 WCD393270:WCD393271 WCD458806:WCD458807 WCD524342:WCD524343 WCD589878:WCD589879 WCD655414:WCD655415 WCD720950:WCD720951 WCD786486:WCD786487 WCD852022:WCD852023 WCD917558:WCD917559 WCD983094:WCD983095 WLZ54:WLZ55 WLZ65590:WLZ65591 WLZ131126:WLZ131127 WLZ196662:WLZ196663 WLZ262198:WLZ262199 WLZ327734:WLZ327735 WLZ393270:WLZ393271 WLZ458806:WLZ458807 WLZ524342:WLZ524343 WLZ589878:WLZ589879 WLZ655414:WLZ655415 WLZ720950:WLZ720951 WLZ786486:WLZ786487 WLZ852022:WLZ852023 WLZ917558:WLZ917559 WLZ983094:WLZ983095 WVV54:WVV55 WVV65590:WVV65591 WVV131126:WVV131127 WVV196662:WVV196663 WVV262198:WVV262199 WVV327734:WVV327735 WVV393270:WVV393271 WVV458806:WVV458807 WVV524342:WVV524343 WVV589878:WVV589879 WVV655414:WVV655415 WVV720950:WVV720951 WVV786486:WVV786487 WVV852022:WVV852023 WVV917558:WVV917559 WVV983094:WVV983095">
      <formula1>N56</formula1>
    </dataValidation>
  </dataValidations>
  <pageMargins left="0.75" right="0.75" top="1" bottom="1" header="0.51180555555555596" footer="0.51180555555555596"/>
  <pageSetup paperSize="9" orientation="portrait" horizontalDpi="300" verticalDpi="300"/>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39988402966399123"/>
  </sheetPr>
  <dimension ref="A1:AV142"/>
  <sheetViews>
    <sheetView workbookViewId="0">
      <selection activeCell="C7" sqref="C7"/>
    </sheetView>
  </sheetViews>
  <sheetFormatPr defaultColWidth="9" defaultRowHeight="30" customHeight="1"/>
  <cols>
    <col min="1" max="1" width="30.625" style="576" customWidth="1"/>
    <col min="2" max="2" width="18.625" style="576" customWidth="1"/>
    <col min="3" max="3" width="18.875" style="576" customWidth="1"/>
    <col min="4" max="4" width="11.625" style="576" customWidth="1"/>
    <col min="5" max="5" width="6.75" style="576" customWidth="1"/>
    <col min="6" max="6" width="4.5" style="576" customWidth="1"/>
    <col min="7" max="7" width="17.75" style="576" customWidth="1"/>
    <col min="8" max="8" width="15.75" style="576" customWidth="1"/>
    <col min="9" max="9" width="57.75" style="576" customWidth="1"/>
    <col min="10" max="10" width="18.25" style="576" customWidth="1"/>
    <col min="11" max="12" width="4.5" style="576" customWidth="1"/>
    <col min="13" max="13" width="25.625" style="576" customWidth="1"/>
    <col min="14" max="14" width="22.875" style="576" customWidth="1"/>
    <col min="15" max="15" width="43.5" style="576" customWidth="1"/>
    <col min="16" max="16" width="10.25" style="576" customWidth="1"/>
    <col min="17" max="17" width="6.375" style="576" customWidth="1"/>
    <col min="18" max="18" width="4.875" style="576" customWidth="1"/>
    <col min="19" max="19" width="26.5" style="576" customWidth="1"/>
    <col min="20" max="20" width="13.125" style="576" customWidth="1"/>
    <col min="21" max="21" width="20.625" style="576" customWidth="1"/>
    <col min="22" max="22" width="23.375" style="576" customWidth="1"/>
    <col min="23" max="23" width="14.125" style="576" customWidth="1"/>
    <col min="24" max="24" width="18.875" style="576" customWidth="1"/>
    <col min="25" max="25" width="12" style="576" customWidth="1"/>
    <col min="26" max="26" width="14" style="576" customWidth="1"/>
    <col min="27" max="27" width="17" style="576" customWidth="1"/>
    <col min="28" max="28" width="20.375" style="576" customWidth="1"/>
    <col min="29" max="29" width="21" style="576" customWidth="1"/>
    <col min="30" max="30" width="20.25" style="576" customWidth="1"/>
    <col min="31" max="31" width="21.5" style="576" customWidth="1"/>
    <col min="32" max="32" width="24.125" style="576" customWidth="1"/>
    <col min="33" max="33" width="11.625" style="576" customWidth="1"/>
    <col min="34" max="34" width="21.625" style="576" customWidth="1"/>
    <col min="35" max="35" width="17.25" style="576" customWidth="1"/>
    <col min="36" max="36" width="13.5" style="576" customWidth="1"/>
    <col min="37" max="37" width="12.875" style="576" customWidth="1"/>
    <col min="38" max="40" width="21.625" style="576" customWidth="1"/>
    <col min="41" max="41" width="19.375" style="576" customWidth="1"/>
    <col min="42" max="46" width="20.25" style="576" customWidth="1"/>
    <col min="47" max="47" width="23" style="576" customWidth="1"/>
    <col min="48" max="48" width="10" style="576" customWidth="1"/>
    <col min="49" max="16384" width="9" style="576"/>
  </cols>
  <sheetData>
    <row r="1" spans="1:3" s="575" customFormat="1" ht="13.5">
      <c r="A1" s="577" t="s">
        <v>16</v>
      </c>
      <c r="B1" s="578"/>
    </row>
    <row r="2" spans="1:3" s="575" customFormat="1" ht="13.5">
      <c r="A2" s="579" t="s">
        <v>17</v>
      </c>
      <c r="B2" s="580">
        <f>IF(B31=1,B29,B27)</f>
        <v>9344</v>
      </c>
    </row>
    <row r="3" spans="1:3" s="575" customFormat="1" ht="13.5">
      <c r="A3" s="579" t="s">
        <v>18</v>
      </c>
      <c r="B3" s="580">
        <f>IF(B32=1,B30,B28)</f>
        <v>7000</v>
      </c>
    </row>
    <row r="4" spans="1:3" s="575" customFormat="1" ht="13.5">
      <c r="A4" s="577" t="s">
        <v>19</v>
      </c>
      <c r="B4" s="581">
        <v>9344</v>
      </c>
      <c r="C4" s="582" t="str">
        <f>IF(OR(B4&gt;B2,B4&lt;4),I26,"")</f>
        <v/>
      </c>
    </row>
    <row r="5" spans="1:3" s="575" customFormat="1" ht="13.5">
      <c r="A5" s="577" t="s">
        <v>20</v>
      </c>
      <c r="B5" s="581">
        <v>7000</v>
      </c>
      <c r="C5" s="582" t="str">
        <f>IF(OR(B5&gt;B3,B5&lt;2),I27,"")</f>
        <v/>
      </c>
    </row>
    <row r="6" spans="1:3" s="575" customFormat="1" ht="13.5">
      <c r="A6" s="577" t="s">
        <v>21</v>
      </c>
      <c r="B6" s="583">
        <v>1</v>
      </c>
      <c r="C6" s="582"/>
    </row>
    <row r="7" spans="1:3" s="575" customFormat="1" ht="13.5">
      <c r="A7" s="198" t="s">
        <v>22</v>
      </c>
      <c r="B7" s="584">
        <v>1</v>
      </c>
      <c r="C7" s="582"/>
    </row>
    <row r="8" spans="1:3" s="575" customFormat="1" ht="17.100000000000001" customHeight="1">
      <c r="A8" s="579" t="s">
        <v>23</v>
      </c>
      <c r="B8" s="583">
        <v>1</v>
      </c>
    </row>
    <row r="9" spans="1:3" s="575" customFormat="1" ht="13.5">
      <c r="A9" s="579" t="s">
        <v>24</v>
      </c>
      <c r="B9" s="583">
        <v>1</v>
      </c>
    </row>
    <row r="10" spans="1:3" s="575" customFormat="1" ht="13.5">
      <c r="A10" s="577" t="s">
        <v>25</v>
      </c>
      <c r="B10" s="581">
        <v>50000</v>
      </c>
    </row>
    <row r="11" spans="1:3" s="575" customFormat="1" ht="13.5">
      <c r="A11" s="577" t="s">
        <v>26</v>
      </c>
      <c r="B11" s="581">
        <v>8</v>
      </c>
    </row>
    <row r="12" spans="1:3" s="575" customFormat="1" ht="13.5">
      <c r="A12" s="577" t="s">
        <v>27</v>
      </c>
      <c r="B12" s="581">
        <v>10000</v>
      </c>
    </row>
    <row r="13" spans="1:3" s="575" customFormat="1" ht="13.5">
      <c r="A13" s="577" t="s">
        <v>28</v>
      </c>
      <c r="B13" s="581">
        <v>1</v>
      </c>
    </row>
    <row r="14" spans="1:3" s="575" customFormat="1" ht="13.5">
      <c r="A14" s="577" t="s">
        <v>29</v>
      </c>
      <c r="B14" s="581">
        <v>40.799999999999997</v>
      </c>
    </row>
    <row r="15" spans="1:3" s="575" customFormat="1" ht="13.5">
      <c r="A15" s="577" t="s">
        <v>30</v>
      </c>
      <c r="B15" s="581">
        <v>2</v>
      </c>
    </row>
    <row r="16" spans="1:3" s="575" customFormat="1" ht="13.5">
      <c r="A16" s="577" t="s">
        <v>31</v>
      </c>
      <c r="B16" s="585">
        <f>J61</f>
        <v>99</v>
      </c>
    </row>
    <row r="17" spans="1:9" s="575" customFormat="1" ht="13.5">
      <c r="A17" s="577" t="s">
        <v>32</v>
      </c>
      <c r="B17" s="581">
        <v>0</v>
      </c>
    </row>
    <row r="18" spans="1:9" s="575" customFormat="1" ht="13.5">
      <c r="A18" s="577" t="s">
        <v>33</v>
      </c>
      <c r="B18" s="585">
        <f>J59</f>
        <v>218116</v>
      </c>
    </row>
    <row r="19" spans="1:9" s="575" customFormat="1" ht="13.5">
      <c r="A19" s="577" t="s">
        <v>34</v>
      </c>
      <c r="B19" s="581">
        <v>1500</v>
      </c>
    </row>
    <row r="20" spans="1:9" s="575" customFormat="1" ht="13.5">
      <c r="A20" s="586" t="s">
        <v>35</v>
      </c>
      <c r="B20" s="587">
        <v>0</v>
      </c>
    </row>
    <row r="21" spans="1:9" s="575" customFormat="1" ht="13.5">
      <c r="A21" s="577" t="s">
        <v>36</v>
      </c>
      <c r="B21" s="581">
        <v>0</v>
      </c>
    </row>
    <row r="22" spans="1:9" s="575" customFormat="1" ht="14.25">
      <c r="A22" s="588"/>
      <c r="B22" s="589"/>
    </row>
    <row r="23" spans="1:9" s="575" customFormat="1" ht="14.25">
      <c r="A23" s="588" t="s">
        <v>37</v>
      </c>
      <c r="B23" s="590">
        <f>J40</f>
        <v>17.733640716439083</v>
      </c>
      <c r="C23" s="582" t="str">
        <f>IF(I32,I28,"")</f>
        <v/>
      </c>
    </row>
    <row r="24" spans="1:9" s="575" customFormat="1" ht="18" hidden="1" customHeight="1"/>
    <row r="25" spans="1:9" s="575" customFormat="1" ht="13.5" hidden="1">
      <c r="I25" s="652" t="s">
        <v>38</v>
      </c>
    </row>
    <row r="26" spans="1:9" s="575" customFormat="1" ht="13.5" hidden="1">
      <c r="I26" t="s">
        <v>39</v>
      </c>
    </row>
    <row r="27" spans="1:9" s="575" customFormat="1" ht="13.5" hidden="1" customHeight="1">
      <c r="A27" s="591" t="s">
        <v>40</v>
      </c>
      <c r="B27" s="578">
        <v>4672</v>
      </c>
      <c r="I27" t="s">
        <v>41</v>
      </c>
    </row>
    <row r="28" spans="1:9" s="575" customFormat="1" ht="13.5" hidden="1" customHeight="1">
      <c r="A28" s="591" t="s">
        <v>42</v>
      </c>
      <c r="B28" s="578">
        <v>3500</v>
      </c>
      <c r="I28" t="s">
        <v>43</v>
      </c>
    </row>
    <row r="29" spans="1:9" s="575" customFormat="1" ht="13.5" hidden="1" customHeight="1">
      <c r="A29" s="591" t="s">
        <v>44</v>
      </c>
      <c r="B29" s="578">
        <v>9344</v>
      </c>
      <c r="I29" s="652"/>
    </row>
    <row r="30" spans="1:9" s="575" customFormat="1" ht="13.5" hidden="1" customHeight="1">
      <c r="A30" s="591" t="s">
        <v>45</v>
      </c>
      <c r="B30" s="578">
        <v>7000</v>
      </c>
      <c r="I30" s="652"/>
    </row>
    <row r="31" spans="1:9" s="575" customFormat="1" ht="13.5" hidden="1">
      <c r="A31" s="591" t="s">
        <v>46</v>
      </c>
      <c r="B31" s="578">
        <f>IF(B6=1,B8,B6)</f>
        <v>1</v>
      </c>
      <c r="I31" s="652" t="s">
        <v>47</v>
      </c>
    </row>
    <row r="32" spans="1:9" s="575" customFormat="1" ht="13.5" hidden="1">
      <c r="A32" s="591" t="s">
        <v>48</v>
      </c>
      <c r="B32" s="578">
        <f>IF(B7=1,B9,B7)</f>
        <v>1</v>
      </c>
      <c r="I32" s="652">
        <f>IF(OR(OR(B4&gt;B2,B4&lt;4),OR(B5&gt;B3,B5&lt;2)),1,0)</f>
        <v>0</v>
      </c>
    </row>
    <row r="33" spans="1:48" s="575" customFormat="1" ht="13.5" hidden="1"/>
    <row r="34" spans="1:48" ht="30" hidden="1" customHeight="1"/>
    <row r="35" spans="1:48" ht="30" hidden="1" customHeight="1">
      <c r="A35" s="592" t="s">
        <v>49</v>
      </c>
      <c r="B35" s="592" t="s">
        <v>50</v>
      </c>
      <c r="C35" s="593" t="s">
        <v>111</v>
      </c>
      <c r="D35" s="594"/>
      <c r="E35" s="594"/>
      <c r="F35" s="594"/>
      <c r="G35" s="1322" t="s">
        <v>52</v>
      </c>
      <c r="H35" s="1323"/>
      <c r="I35" s="1323"/>
      <c r="J35" s="1323"/>
      <c r="K35" s="1324"/>
      <c r="L35" s="653"/>
      <c r="M35" s="1322" t="s">
        <v>53</v>
      </c>
      <c r="N35" s="1323"/>
      <c r="O35" s="1323"/>
      <c r="P35" s="1323"/>
      <c r="Q35" s="1324"/>
      <c r="R35" s="653"/>
      <c r="S35" s="1325" t="s">
        <v>54</v>
      </c>
      <c r="T35" s="1326"/>
      <c r="U35" s="1326"/>
      <c r="V35" s="1326"/>
      <c r="W35" s="1326"/>
      <c r="X35" s="1326"/>
      <c r="Y35" s="1326"/>
      <c r="Z35" s="1326"/>
      <c r="AA35" s="1326"/>
      <c r="AB35" s="1326"/>
      <c r="AC35" s="1326"/>
      <c r="AD35" s="1326"/>
      <c r="AE35" s="1326"/>
      <c r="AF35" s="1326"/>
      <c r="AG35" s="1326"/>
      <c r="AH35" s="1326"/>
      <c r="AI35" s="1326"/>
      <c r="AJ35" s="1326"/>
      <c r="AK35" s="1326"/>
      <c r="AL35" s="1326"/>
      <c r="AM35" s="1326"/>
      <c r="AN35" s="1326"/>
      <c r="AO35" s="1326"/>
      <c r="AP35" s="1326"/>
      <c r="AQ35" s="1326"/>
      <c r="AR35" s="1326"/>
      <c r="AS35" s="1326"/>
      <c r="AT35" s="1326"/>
      <c r="AU35" s="1326"/>
      <c r="AV35" s="1326"/>
    </row>
    <row r="36" spans="1:48" ht="30" hidden="1" customHeight="1">
      <c r="A36" s="592" t="s">
        <v>55</v>
      </c>
      <c r="B36" s="592" t="s">
        <v>56</v>
      </c>
      <c r="C36" s="593" t="s">
        <v>57</v>
      </c>
      <c r="D36" s="594"/>
      <c r="E36" s="594"/>
      <c r="F36" s="594"/>
      <c r="G36" s="1327" t="s">
        <v>58</v>
      </c>
      <c r="H36" s="1328"/>
      <c r="I36" s="1328"/>
      <c r="J36" s="1328"/>
      <c r="K36" s="1329"/>
      <c r="L36" s="653"/>
      <c r="M36" s="1327" t="s">
        <v>59</v>
      </c>
      <c r="N36" s="1328"/>
      <c r="O36" s="1328"/>
      <c r="P36" s="1328"/>
      <c r="Q36" s="1329"/>
      <c r="R36" s="653"/>
      <c r="S36" s="687" t="s">
        <v>60</v>
      </c>
      <c r="T36" s="688" t="s">
        <v>61</v>
      </c>
      <c r="U36" s="688" t="s">
        <v>62</v>
      </c>
      <c r="V36" s="688" t="s">
        <v>63</v>
      </c>
      <c r="W36" s="688" t="s">
        <v>64</v>
      </c>
      <c r="X36" s="688" t="s">
        <v>65</v>
      </c>
      <c r="Y36" s="688" t="s">
        <v>66</v>
      </c>
      <c r="Z36" s="688" t="s">
        <v>67</v>
      </c>
      <c r="AA36" s="688" t="s">
        <v>68</v>
      </c>
      <c r="AB36" s="688" t="s">
        <v>69</v>
      </c>
      <c r="AC36" s="688" t="s">
        <v>70</v>
      </c>
      <c r="AD36" s="688" t="s">
        <v>71</v>
      </c>
      <c r="AE36" s="688" t="s">
        <v>72</v>
      </c>
      <c r="AF36" s="688" t="s">
        <v>73</v>
      </c>
      <c r="AG36" s="688" t="s">
        <v>74</v>
      </c>
      <c r="AH36" s="688" t="s">
        <v>75</v>
      </c>
      <c r="AI36" s="688" t="s">
        <v>76</v>
      </c>
      <c r="AJ36" s="688" t="s">
        <v>77</v>
      </c>
      <c r="AK36" s="688" t="s">
        <v>78</v>
      </c>
      <c r="AL36" s="688" t="s">
        <v>79</v>
      </c>
      <c r="AM36" s="712" t="s">
        <v>80</v>
      </c>
      <c r="AN36" s="688" t="s">
        <v>81</v>
      </c>
      <c r="AO36" s="688" t="s">
        <v>82</v>
      </c>
      <c r="AP36" s="688" t="s">
        <v>83</v>
      </c>
      <c r="AQ36" s="688" t="s">
        <v>84</v>
      </c>
      <c r="AR36" s="688" t="s">
        <v>85</v>
      </c>
      <c r="AS36" s="716" t="s">
        <v>86</v>
      </c>
      <c r="AT36" s="716" t="s">
        <v>87</v>
      </c>
      <c r="AU36" s="716" t="s">
        <v>88</v>
      </c>
      <c r="AV36" s="716" t="s">
        <v>89</v>
      </c>
    </row>
    <row r="37" spans="1:48" ht="30" hidden="1" customHeight="1">
      <c r="A37" s="1322" t="s">
        <v>90</v>
      </c>
      <c r="B37" s="1323"/>
      <c r="C37" s="1323"/>
      <c r="D37" s="1323"/>
      <c r="E37" s="1324"/>
      <c r="F37" s="594"/>
      <c r="G37" s="595" t="s">
        <v>91</v>
      </c>
      <c r="H37" s="596" t="s">
        <v>92</v>
      </c>
      <c r="I37" s="596" t="s">
        <v>93</v>
      </c>
      <c r="J37" s="596" t="s">
        <v>94</v>
      </c>
      <c r="K37" s="654" t="s">
        <v>95</v>
      </c>
      <c r="L37" s="653"/>
      <c r="M37" s="597" t="s">
        <v>91</v>
      </c>
      <c r="N37" s="598" t="s">
        <v>92</v>
      </c>
      <c r="O37" s="598" t="s">
        <v>93</v>
      </c>
      <c r="P37" s="598" t="s">
        <v>96</v>
      </c>
      <c r="Q37" s="689" t="s">
        <v>95</v>
      </c>
      <c r="R37" s="653"/>
      <c r="S37" s="690" t="s">
        <v>97</v>
      </c>
      <c r="T37" s="661" t="s">
        <v>98</v>
      </c>
      <c r="U37" s="661">
        <v>80</v>
      </c>
      <c r="V37" s="691">
        <v>80</v>
      </c>
      <c r="W37" s="692">
        <v>1</v>
      </c>
      <c r="X37" s="691">
        <v>16</v>
      </c>
      <c r="Y37" s="692">
        <v>128</v>
      </c>
      <c r="Z37" s="692">
        <v>4</v>
      </c>
      <c r="AA37" s="661">
        <v>5376</v>
      </c>
      <c r="AB37" s="661">
        <v>1</v>
      </c>
      <c r="AC37" s="661">
        <v>5376</v>
      </c>
      <c r="AD37" s="661">
        <v>5184</v>
      </c>
      <c r="AE37" s="691">
        <f>ROUNDUP((6*AF37/$P$38)*1000,0)+ROUNDUP(3*$J$38,0)</f>
        <v>27900</v>
      </c>
      <c r="AF37" s="707">
        <f>IF(D40=8,124,248)</f>
        <v>124</v>
      </c>
      <c r="AG37" s="707">
        <v>3</v>
      </c>
      <c r="AH37" s="707">
        <v>3</v>
      </c>
      <c r="AI37" s="707">
        <v>636</v>
      </c>
      <c r="AJ37" s="707">
        <v>6</v>
      </c>
      <c r="AK37" s="707">
        <v>14</v>
      </c>
      <c r="AL37" s="661">
        <v>1</v>
      </c>
      <c r="AM37" s="713" t="s">
        <v>99</v>
      </c>
      <c r="AN37" s="691">
        <v>20000</v>
      </c>
      <c r="AO37" s="707">
        <v>5120</v>
      </c>
      <c r="AP37" s="707">
        <v>5120</v>
      </c>
      <c r="AQ37" s="661">
        <v>42</v>
      </c>
      <c r="AR37" s="661">
        <v>1</v>
      </c>
      <c r="AS37" s="717">
        <v>156.25</v>
      </c>
      <c r="AT37" s="717">
        <v>1</v>
      </c>
      <c r="AU37" s="717" t="s">
        <v>100</v>
      </c>
      <c r="AV37" s="717">
        <v>0</v>
      </c>
    </row>
    <row r="38" spans="1:48" ht="30" hidden="1" customHeight="1">
      <c r="A38" s="597" t="s">
        <v>91</v>
      </c>
      <c r="B38" s="598" t="s">
        <v>92</v>
      </c>
      <c r="C38" s="598" t="s">
        <v>101</v>
      </c>
      <c r="D38" s="598" t="s">
        <v>102</v>
      </c>
      <c r="E38" s="599" t="s">
        <v>95</v>
      </c>
      <c r="F38" s="594"/>
      <c r="G38" s="600" t="s">
        <v>103</v>
      </c>
      <c r="H38" s="601" t="s">
        <v>104</v>
      </c>
      <c r="I38" s="621" t="s">
        <v>105</v>
      </c>
      <c r="J38" s="655">
        <f>ROUNDUP(1000*P41*P39/P38,0)</f>
        <v>6200</v>
      </c>
      <c r="K38" s="600" t="s">
        <v>106</v>
      </c>
      <c r="L38" s="653"/>
      <c r="M38" s="600" t="s">
        <v>107</v>
      </c>
      <c r="N38" s="601" t="s">
        <v>108</v>
      </c>
      <c r="O38" s="601" t="s">
        <v>109</v>
      </c>
      <c r="P38" s="656">
        <f>VLOOKUP($C$35,$S$37:$AU$52,4,FALSE)</f>
        <v>80</v>
      </c>
      <c r="Q38" s="693" t="s">
        <v>110</v>
      </c>
      <c r="R38" s="653"/>
      <c r="S38" s="690" t="s">
        <v>111</v>
      </c>
      <c r="T38" s="661" t="s">
        <v>112</v>
      </c>
      <c r="U38" s="661">
        <v>80</v>
      </c>
      <c r="V38" s="661">
        <v>80</v>
      </c>
      <c r="W38" s="692">
        <v>1</v>
      </c>
      <c r="X38" s="692">
        <v>28</v>
      </c>
      <c r="Y38" s="692">
        <v>88</v>
      </c>
      <c r="Z38" s="692">
        <v>4</v>
      </c>
      <c r="AA38" s="661">
        <v>9520</v>
      </c>
      <c r="AB38" s="661">
        <v>1</v>
      </c>
      <c r="AC38" s="661">
        <v>9520</v>
      </c>
      <c r="AD38" s="661">
        <v>7056</v>
      </c>
      <c r="AE38" s="691">
        <f>ROUNDUP((7*AF38/$P$38)*1000,0)+ROUNDUP(12*$J$38,0)</f>
        <v>96100</v>
      </c>
      <c r="AF38" s="707">
        <v>248</v>
      </c>
      <c r="AG38" s="707">
        <v>2</v>
      </c>
      <c r="AH38" s="714">
        <v>3</v>
      </c>
      <c r="AI38" s="707">
        <v>1068</v>
      </c>
      <c r="AJ38" s="707">
        <v>6</v>
      </c>
      <c r="AK38" s="714">
        <v>14</v>
      </c>
      <c r="AL38" s="691">
        <v>1</v>
      </c>
      <c r="AM38" s="713" t="s">
        <v>99</v>
      </c>
      <c r="AN38" s="691">
        <v>50000</v>
      </c>
      <c r="AO38" s="707">
        <v>9344</v>
      </c>
      <c r="AP38" s="707">
        <v>7000</v>
      </c>
      <c r="AQ38" s="691">
        <v>17</v>
      </c>
      <c r="AR38" s="661">
        <v>1</v>
      </c>
      <c r="AS38" s="718">
        <v>156.25</v>
      </c>
      <c r="AT38" s="718">
        <v>1</v>
      </c>
      <c r="AU38" s="718" t="s">
        <v>57</v>
      </c>
      <c r="AV38" s="718">
        <v>0</v>
      </c>
    </row>
    <row r="39" spans="1:48" ht="71.25" hidden="1" customHeight="1">
      <c r="A39" s="1327" t="s">
        <v>113</v>
      </c>
      <c r="B39" s="1328"/>
      <c r="C39" s="1328"/>
      <c r="D39" s="1328"/>
      <c r="E39" s="1329"/>
      <c r="F39" s="594"/>
      <c r="G39" s="602" t="s">
        <v>114</v>
      </c>
      <c r="H39" s="603" t="s">
        <v>115</v>
      </c>
      <c r="I39" s="623" t="s">
        <v>398</v>
      </c>
      <c r="J39" s="657">
        <f>IF(D48=0,MAX(J42,J43,J44,J45)+J50,IF(D42="TriggerWidth",MAX(J42,J44,J63),MAX(J42,J43,J44)+J50))</f>
        <v>56390</v>
      </c>
      <c r="K39" s="602" t="s">
        <v>117</v>
      </c>
      <c r="M39" s="602" t="s">
        <v>118</v>
      </c>
      <c r="N39" s="603" t="s">
        <v>118</v>
      </c>
      <c r="O39" s="603" t="s">
        <v>109</v>
      </c>
      <c r="P39" s="658">
        <f>VLOOKUP($C$35,$S$37:$AU$52,14,FALSE)</f>
        <v>248</v>
      </c>
      <c r="Q39" s="664" t="s">
        <v>119</v>
      </c>
      <c r="S39" s="690" t="s">
        <v>399</v>
      </c>
      <c r="T39" s="661" t="s">
        <v>120</v>
      </c>
      <c r="U39" s="661">
        <v>80</v>
      </c>
      <c r="V39" s="661">
        <v>80</v>
      </c>
      <c r="W39" s="692">
        <v>1</v>
      </c>
      <c r="X39" s="692">
        <v>28</v>
      </c>
      <c r="Y39" s="692">
        <v>1256</v>
      </c>
      <c r="Z39" s="692">
        <v>4</v>
      </c>
      <c r="AA39" s="661">
        <v>9520</v>
      </c>
      <c r="AB39" s="661">
        <v>1</v>
      </c>
      <c r="AC39" s="661">
        <v>9520</v>
      </c>
      <c r="AD39" s="661">
        <v>7056</v>
      </c>
      <c r="AE39" s="691">
        <f>ROUNDUP((7*AF39/$P$38)*1000,0)+ROUNDUP(12*$J$38,0)</f>
        <v>90850</v>
      </c>
      <c r="AF39" s="707">
        <f>IF(D40=8,188,376)</f>
        <v>188</v>
      </c>
      <c r="AG39" s="707">
        <v>2</v>
      </c>
      <c r="AH39" s="714">
        <v>3</v>
      </c>
      <c r="AI39" s="707">
        <v>1068</v>
      </c>
      <c r="AJ39" s="707">
        <v>6</v>
      </c>
      <c r="AK39" s="714">
        <v>14</v>
      </c>
      <c r="AL39" s="691">
        <v>1</v>
      </c>
      <c r="AM39" s="713" t="s">
        <v>99</v>
      </c>
      <c r="AN39" s="691">
        <v>40000</v>
      </c>
      <c r="AO39" s="707">
        <v>7008</v>
      </c>
      <c r="AP39" s="707">
        <v>7000</v>
      </c>
      <c r="AQ39" s="691">
        <v>22</v>
      </c>
      <c r="AR39" s="661">
        <v>1</v>
      </c>
      <c r="AS39" s="718">
        <v>156.25</v>
      </c>
      <c r="AT39" s="718">
        <v>1</v>
      </c>
      <c r="AU39" s="718" t="s">
        <v>57</v>
      </c>
      <c r="AV39" s="719">
        <v>0</v>
      </c>
    </row>
    <row r="40" spans="1:48" ht="30" hidden="1" customHeight="1">
      <c r="A40" s="604" t="s">
        <v>121</v>
      </c>
      <c r="B40" s="605" t="s">
        <v>113</v>
      </c>
      <c r="C40" s="605">
        <v>8</v>
      </c>
      <c r="D40" s="606">
        <f>B11</f>
        <v>8</v>
      </c>
      <c r="E40" s="607" t="s">
        <v>122</v>
      </c>
      <c r="F40" s="594"/>
      <c r="G40" s="608" t="s">
        <v>123</v>
      </c>
      <c r="H40" s="609" t="s">
        <v>58</v>
      </c>
      <c r="I40" s="617" t="s">
        <v>124</v>
      </c>
      <c r="J40" s="659">
        <f>1000000/J39</f>
        <v>17.733640716439083</v>
      </c>
      <c r="K40" s="608" t="s">
        <v>125</v>
      </c>
      <c r="M40" s="602" t="s">
        <v>126</v>
      </c>
      <c r="N40" s="603" t="s">
        <v>127</v>
      </c>
      <c r="O40" s="603" t="s">
        <v>109</v>
      </c>
      <c r="P40" s="658">
        <f>VLOOKUP($C$35,$S$37:$AU$52,13,FALSE)</f>
        <v>96100</v>
      </c>
      <c r="Q40" s="664" t="s">
        <v>106</v>
      </c>
      <c r="S40" s="694"/>
      <c r="T40" s="695"/>
      <c r="U40" s="695"/>
      <c r="V40" s="695"/>
      <c r="W40" s="696"/>
      <c r="X40" s="696"/>
      <c r="Y40" s="696"/>
      <c r="Z40" s="696"/>
      <c r="AA40" s="695"/>
      <c r="AB40" s="695"/>
      <c r="AC40" s="695"/>
      <c r="AD40" s="695"/>
      <c r="AE40" s="708"/>
      <c r="AF40" s="709"/>
      <c r="AG40" s="709"/>
      <c r="AH40" s="709"/>
      <c r="AI40" s="709"/>
      <c r="AJ40" s="709"/>
      <c r="AK40" s="709"/>
      <c r="AL40" s="695"/>
      <c r="AM40" s="715"/>
      <c r="AN40" s="695"/>
      <c r="AO40" s="709"/>
      <c r="AP40" s="709"/>
      <c r="AQ40" s="695"/>
      <c r="AR40" s="695"/>
      <c r="AS40" s="720"/>
      <c r="AT40" s="720"/>
      <c r="AU40" s="721"/>
      <c r="AV40" s="722"/>
    </row>
    <row r="41" spans="1:48" ht="30" hidden="1" customHeight="1">
      <c r="A41" s="1327" t="s">
        <v>128</v>
      </c>
      <c r="B41" s="1328"/>
      <c r="C41" s="1328"/>
      <c r="D41" s="1328"/>
      <c r="E41" s="1329"/>
      <c r="F41" s="594"/>
      <c r="G41" s="1327" t="s">
        <v>129</v>
      </c>
      <c r="H41" s="1328"/>
      <c r="I41" s="1328"/>
      <c r="J41" s="1328"/>
      <c r="K41" s="1329"/>
      <c r="M41" s="602" t="s">
        <v>130</v>
      </c>
      <c r="N41" s="603" t="s">
        <v>131</v>
      </c>
      <c r="O41" s="603" t="s">
        <v>109</v>
      </c>
      <c r="P41" s="658">
        <f>VLOOKUP($C$35,$S$37:$AU$52,15,FALSE)</f>
        <v>2</v>
      </c>
      <c r="Q41" s="664" t="s">
        <v>122</v>
      </c>
      <c r="S41" s="653"/>
      <c r="T41" s="653"/>
      <c r="U41" s="653"/>
      <c r="V41" s="653"/>
      <c r="W41" s="653"/>
      <c r="X41" s="653"/>
      <c r="Y41" s="653"/>
      <c r="Z41" s="653"/>
    </row>
    <row r="42" spans="1:48" ht="30" hidden="1" customHeight="1">
      <c r="A42" s="600" t="s">
        <v>132</v>
      </c>
      <c r="B42" s="601" t="s">
        <v>133</v>
      </c>
      <c r="C42" s="601" t="s">
        <v>134</v>
      </c>
      <c r="D42" s="610" t="s">
        <v>134</v>
      </c>
      <c r="E42" s="611"/>
      <c r="F42" s="594"/>
      <c r="G42" s="600" t="s">
        <v>135</v>
      </c>
      <c r="H42" s="601" t="s">
        <v>136</v>
      </c>
      <c r="I42" s="621" t="s">
        <v>137</v>
      </c>
      <c r="J42" s="655">
        <f>ROUNDUP(((D55*D73+P42+P47+VLOOKUP($C$35,$S$37:$AU$52,28,FALSE))*J38+P40)/1000,0)</f>
        <v>43596</v>
      </c>
      <c r="K42" s="660" t="s">
        <v>117</v>
      </c>
      <c r="M42" s="602" t="s">
        <v>138</v>
      </c>
      <c r="N42" s="603" t="s">
        <v>139</v>
      </c>
      <c r="O42" s="603" t="s">
        <v>109</v>
      </c>
      <c r="P42" s="658">
        <f>VLOOKUP($C$35,$S$37:$AU$52,19,FALSE)</f>
        <v>14</v>
      </c>
      <c r="Q42" s="664" t="s">
        <v>140</v>
      </c>
      <c r="S42" s="653"/>
      <c r="T42" s="653"/>
      <c r="U42" s="653"/>
      <c r="V42" s="653"/>
      <c r="W42" s="653"/>
      <c r="X42" s="653"/>
      <c r="Y42" s="653"/>
      <c r="Z42" s="653"/>
    </row>
    <row r="43" spans="1:48" ht="30" hidden="1" customHeight="1">
      <c r="A43" s="600" t="s">
        <v>141</v>
      </c>
      <c r="B43" s="601" t="s">
        <v>128</v>
      </c>
      <c r="C43" s="601">
        <f>VLOOKUP($C$35,$S$37:$AU$52,22,FALSE)</f>
        <v>50000</v>
      </c>
      <c r="D43" s="612">
        <f>B10</f>
        <v>50000</v>
      </c>
      <c r="E43" s="611" t="s">
        <v>117</v>
      </c>
      <c r="F43" s="594"/>
      <c r="G43" s="602" t="s">
        <v>142</v>
      </c>
      <c r="H43" s="603" t="s">
        <v>143</v>
      </c>
      <c r="I43" s="661" t="s">
        <v>144</v>
      </c>
      <c r="J43" s="662">
        <f>ROUNDUP(D43-P44/P38+P43*J38/1000+D44+P40/1000,0)+IF(D59=1,0,P48)</f>
        <v>50102</v>
      </c>
      <c r="K43" s="663" t="s">
        <v>117</v>
      </c>
      <c r="M43" s="602" t="s">
        <v>145</v>
      </c>
      <c r="N43" s="603" t="s">
        <v>146</v>
      </c>
      <c r="O43" s="603" t="s">
        <v>109</v>
      </c>
      <c r="P43" s="658">
        <f>VLOOKUP($C$35,$S$37:$AU$52,16,FALSE)</f>
        <v>3</v>
      </c>
      <c r="Q43" s="664" t="s">
        <v>140</v>
      </c>
      <c r="S43" s="653"/>
      <c r="T43" s="653"/>
      <c r="U43" s="653"/>
      <c r="V43" s="653"/>
      <c r="W43" s="653"/>
      <c r="X43" s="653"/>
      <c r="Y43" s="653"/>
      <c r="Z43" s="653"/>
    </row>
    <row r="44" spans="1:48" ht="30" hidden="1" customHeight="1">
      <c r="A44" s="608" t="s">
        <v>147</v>
      </c>
      <c r="B44" s="609" t="s">
        <v>148</v>
      </c>
      <c r="C44" s="601">
        <v>0</v>
      </c>
      <c r="D44" s="613">
        <f>B20</f>
        <v>0</v>
      </c>
      <c r="E44" s="614" t="s">
        <v>117</v>
      </c>
      <c r="F44" s="594"/>
      <c r="G44" s="602" t="s">
        <v>149</v>
      </c>
      <c r="H44" s="603" t="s">
        <v>150</v>
      </c>
      <c r="I44" s="661" t="s">
        <v>151</v>
      </c>
      <c r="J44" s="662">
        <f>IF(D59=1,0,ROUNDUP((1000000/D67)*D66,0))</f>
        <v>24510</v>
      </c>
      <c r="K44" s="664" t="s">
        <v>117</v>
      </c>
      <c r="M44" s="602" t="s">
        <v>152</v>
      </c>
      <c r="N44" s="603" t="s">
        <v>153</v>
      </c>
      <c r="O44" s="603" t="s">
        <v>109</v>
      </c>
      <c r="P44" s="658">
        <f>VLOOKUP($C$35,$S$37:$AU$52,17,FALSE)</f>
        <v>1068</v>
      </c>
      <c r="Q44" s="664" t="s">
        <v>154</v>
      </c>
      <c r="S44" s="653"/>
      <c r="T44" s="653"/>
      <c r="U44" s="653"/>
      <c r="V44" s="653"/>
      <c r="W44" s="653"/>
      <c r="X44" s="653"/>
      <c r="Y44" s="710"/>
      <c r="Z44" s="653"/>
    </row>
    <row r="45" spans="1:48" ht="60" hidden="1" customHeight="1">
      <c r="A45" s="615" t="s">
        <v>155</v>
      </c>
      <c r="B45" s="615" t="str">
        <f>"交叠曝光时间 
范围:0"&amp;"-"&amp;ROUNDUP(((D55*D73+P42+P47+1)*J38/1000),0)&amp;"（公式中+1为黑行）"</f>
        <v>交叠曝光时间 
范围:0-43500（公式中+1为黑行）</v>
      </c>
      <c r="C45" s="601">
        <f>ROUNDUP((VLOOKUP($C$35,$S$37:$AU$50,24,FALSE)+VLOOKUP($C$35,$S$37:$AU$50,19,FALSE)+VLOOKUP($C$35,$S$37:$AU$50,20,FALSE)+VLOOKUP($C$35,$S$37:$AU$50,28,FALSE))*J38/1000,0)</f>
        <v>43500</v>
      </c>
      <c r="D45" s="616">
        <v>10000</v>
      </c>
      <c r="E45" s="614" t="s">
        <v>117</v>
      </c>
      <c r="F45" s="594"/>
      <c r="G45" s="608" t="s">
        <v>156</v>
      </c>
      <c r="H45" s="617" t="s">
        <v>157</v>
      </c>
      <c r="I45" s="617" t="s">
        <v>158</v>
      </c>
      <c r="J45" s="665">
        <f>P79</f>
        <v>56390</v>
      </c>
      <c r="K45" s="666" t="s">
        <v>117</v>
      </c>
      <c r="M45" s="602" t="s">
        <v>159</v>
      </c>
      <c r="N45" s="603" t="s">
        <v>160</v>
      </c>
      <c r="O45" s="603" t="s">
        <v>109</v>
      </c>
      <c r="P45" s="658">
        <f>VLOOKUP($C$35,$S$37:$AU$52,18,FALSE)</f>
        <v>6</v>
      </c>
      <c r="Q45" s="664" t="s">
        <v>140</v>
      </c>
      <c r="S45" s="653"/>
      <c r="T45" s="653"/>
      <c r="U45" s="653"/>
      <c r="V45" s="653"/>
      <c r="W45" s="653"/>
      <c r="X45" s="653"/>
      <c r="Y45" s="710"/>
      <c r="Z45" s="653"/>
    </row>
    <row r="46" spans="1:48" ht="87.75" hidden="1" customHeight="1">
      <c r="A46" s="618" t="s">
        <v>161</v>
      </c>
      <c r="B46" s="618" t="s">
        <v>162</v>
      </c>
      <c r="C46" s="617" t="s">
        <v>163</v>
      </c>
      <c r="D46" s="619">
        <v>40000</v>
      </c>
      <c r="E46" s="614" t="s">
        <v>117</v>
      </c>
      <c r="F46" s="594"/>
      <c r="G46" s="1327" t="s">
        <v>164</v>
      </c>
      <c r="H46" s="1328"/>
      <c r="I46" s="1328"/>
      <c r="J46" s="1328"/>
      <c r="K46" s="1329"/>
      <c r="M46" s="602" t="s">
        <v>165</v>
      </c>
      <c r="N46" s="603" t="s">
        <v>166</v>
      </c>
      <c r="O46" s="603" t="s">
        <v>109</v>
      </c>
      <c r="P46" s="658">
        <f>VLOOKUP($C$35,$S$37:$AU$52,26,FALSE)</f>
        <v>1</v>
      </c>
      <c r="Q46" s="917" t="s">
        <v>122</v>
      </c>
      <c r="S46" s="653"/>
      <c r="T46" s="653"/>
      <c r="U46" s="653"/>
      <c r="V46" s="653"/>
      <c r="W46" s="653"/>
      <c r="X46" s="653"/>
      <c r="Y46" s="710"/>
      <c r="Z46" s="653"/>
    </row>
    <row r="47" spans="1:48" ht="87.75" hidden="1" customHeight="1">
      <c r="A47" s="1327" t="s">
        <v>167</v>
      </c>
      <c r="B47" s="1328"/>
      <c r="C47" s="1328"/>
      <c r="D47" s="1328"/>
      <c r="E47" s="1329"/>
      <c r="F47" s="594"/>
      <c r="G47" s="620" t="s">
        <v>141</v>
      </c>
      <c r="H47" s="621" t="s">
        <v>168</v>
      </c>
      <c r="I47" s="621" t="s">
        <v>169</v>
      </c>
      <c r="J47" s="655">
        <f>IF((D48=1)*(D42="TriggerWidth"),MAX(D45,D46),ROUNDUP((1000*D43-1000*P44/P38)/1000,0))</f>
        <v>49987</v>
      </c>
      <c r="K47" s="660" t="s">
        <v>117</v>
      </c>
      <c r="M47" s="608" t="s">
        <v>170</v>
      </c>
      <c r="N47" s="609" t="s">
        <v>171</v>
      </c>
      <c r="O47" s="609" t="s">
        <v>109</v>
      </c>
      <c r="P47" s="658">
        <f>VLOOKUP($C$35,$S$37:$AU$52,20,FALSE)</f>
        <v>1</v>
      </c>
      <c r="Q47" s="664" t="s">
        <v>140</v>
      </c>
      <c r="S47" s="653"/>
      <c r="T47" s="653"/>
      <c r="U47" s="653"/>
      <c r="V47" s="653"/>
      <c r="W47" s="653"/>
      <c r="X47" s="653"/>
      <c r="Y47" s="710"/>
      <c r="Z47" s="653"/>
    </row>
    <row r="48" spans="1:48" ht="87.75" hidden="1" customHeight="1">
      <c r="A48" s="604" t="s">
        <v>172</v>
      </c>
      <c r="B48" s="605" t="s">
        <v>167</v>
      </c>
      <c r="C48" s="605">
        <v>0</v>
      </c>
      <c r="D48" s="622">
        <f>B21</f>
        <v>0</v>
      </c>
      <c r="E48" s="607"/>
      <c r="F48" s="594"/>
      <c r="G48" s="615" t="s">
        <v>173</v>
      </c>
      <c r="H48" s="623" t="s">
        <v>174</v>
      </c>
      <c r="I48" s="623" t="s">
        <v>175</v>
      </c>
      <c r="J48" s="657">
        <f>D44</f>
        <v>0</v>
      </c>
      <c r="K48" s="667" t="s">
        <v>117</v>
      </c>
      <c r="M48" s="668" t="s">
        <v>176</v>
      </c>
      <c r="N48" s="669" t="s">
        <v>177</v>
      </c>
      <c r="O48" s="670" t="s">
        <v>109</v>
      </c>
      <c r="P48" s="671">
        <f>VLOOKUP($C$35,$S$37:$AV$52,30,FALSE)</f>
        <v>0</v>
      </c>
      <c r="Q48" s="697" t="s">
        <v>117</v>
      </c>
      <c r="S48" s="653"/>
      <c r="T48" s="653"/>
      <c r="U48" s="653"/>
      <c r="V48" s="653"/>
      <c r="W48" s="653"/>
      <c r="X48" s="653"/>
      <c r="Y48" s="710"/>
      <c r="Z48" s="653"/>
    </row>
    <row r="49" spans="1:26" ht="111" hidden="1" customHeight="1">
      <c r="A49" s="1327" t="s">
        <v>185</v>
      </c>
      <c r="B49" s="1328"/>
      <c r="C49" s="1328"/>
      <c r="D49" s="1328"/>
      <c r="E49" s="1329"/>
      <c r="F49" s="594"/>
      <c r="G49" s="615" t="s">
        <v>180</v>
      </c>
      <c r="H49" s="623" t="s">
        <v>181</v>
      </c>
      <c r="I49" s="623" t="s">
        <v>182</v>
      </c>
      <c r="J49" s="657">
        <f>IF(P46=1,IF((D48=1)*(D42="TriggerWidth"),IF((D45&lt;=ROUNDUP(J38*6/1000,0))*(D45&gt;0),1,0),IF((MAX(J42,J43,J44,J45)-J47)&lt;J42,(IF((MAX(J42,J43,J44,J45)-J47)&gt;=(J42-ROUNDUP(6*J38/1000,0)),1,0)),0)),0)</f>
        <v>0</v>
      </c>
      <c r="K49" s="672" t="s">
        <v>122</v>
      </c>
      <c r="M49" s="1327" t="s">
        <v>189</v>
      </c>
      <c r="N49" s="1328"/>
      <c r="O49" s="1328"/>
      <c r="P49" s="1328"/>
      <c r="Q49" s="1329"/>
      <c r="S49" s="653"/>
      <c r="T49" s="653"/>
      <c r="U49" s="653"/>
      <c r="V49" s="653"/>
      <c r="W49" s="653"/>
      <c r="X49" s="653"/>
      <c r="Y49" s="711"/>
      <c r="Z49" s="711"/>
    </row>
    <row r="50" spans="1:26" ht="60.75" hidden="1" customHeight="1">
      <c r="A50" s="604" t="s">
        <v>190</v>
      </c>
      <c r="B50" s="605" t="s">
        <v>191</v>
      </c>
      <c r="C50" s="605">
        <v>0</v>
      </c>
      <c r="D50" s="606">
        <v>0</v>
      </c>
      <c r="E50" s="607" t="s">
        <v>117</v>
      </c>
      <c r="F50" s="594"/>
      <c r="G50" s="618" t="s">
        <v>186</v>
      </c>
      <c r="H50" s="617" t="s">
        <v>187</v>
      </c>
      <c r="I50" s="617" t="s">
        <v>188</v>
      </c>
      <c r="J50" s="673">
        <f>IF(J49=1,IF((D48=1)*(D42="TriggerWidth"),D45,J42-(MAX(J42,J43,J44,J45)-J47)),0)</f>
        <v>0</v>
      </c>
      <c r="K50" s="674" t="s">
        <v>117</v>
      </c>
      <c r="M50" s="597" t="s">
        <v>91</v>
      </c>
      <c r="N50" s="598" t="s">
        <v>92</v>
      </c>
      <c r="O50" s="598" t="s">
        <v>93</v>
      </c>
      <c r="P50" s="598" t="s">
        <v>96</v>
      </c>
      <c r="Q50" s="689" t="s">
        <v>95</v>
      </c>
      <c r="S50" s="653"/>
      <c r="T50" s="653"/>
      <c r="U50" s="653"/>
      <c r="V50" s="653"/>
      <c r="W50" s="653"/>
      <c r="X50" s="653"/>
      <c r="Y50" s="711"/>
      <c r="Z50" s="711"/>
    </row>
    <row r="51" spans="1:26" ht="30" hidden="1" customHeight="1">
      <c r="A51" s="1327" t="s">
        <v>193</v>
      </c>
      <c r="B51" s="1328"/>
      <c r="C51" s="1328"/>
      <c r="D51" s="1328"/>
      <c r="E51" s="1329"/>
      <c r="F51" s="594"/>
      <c r="G51" s="1327" t="s">
        <v>192</v>
      </c>
      <c r="H51" s="1328"/>
      <c r="I51" s="1328"/>
      <c r="J51" s="1328"/>
      <c r="K51" s="1329"/>
      <c r="M51" s="600" t="s">
        <v>198</v>
      </c>
      <c r="N51" s="601" t="s">
        <v>199</v>
      </c>
      <c r="O51" s="601" t="s">
        <v>200</v>
      </c>
      <c r="P51" s="656">
        <v>7</v>
      </c>
      <c r="Q51" s="693" t="s">
        <v>201</v>
      </c>
      <c r="S51" s="653"/>
      <c r="T51" s="653"/>
      <c r="U51" s="653"/>
      <c r="V51" s="653"/>
      <c r="W51" s="653"/>
      <c r="X51" s="653"/>
      <c r="Y51" s="711"/>
      <c r="Z51" s="711"/>
    </row>
    <row r="52" spans="1:26" ht="30" hidden="1" customHeight="1">
      <c r="A52" s="600" t="s">
        <v>202</v>
      </c>
      <c r="B52" s="601" t="s">
        <v>203</v>
      </c>
      <c r="C52" s="601">
        <v>0</v>
      </c>
      <c r="D52" s="612">
        <v>0</v>
      </c>
      <c r="E52" s="624" t="s">
        <v>119</v>
      </c>
      <c r="F52" s="594"/>
      <c r="G52" s="620" t="s">
        <v>194</v>
      </c>
      <c r="H52" s="621" t="s">
        <v>195</v>
      </c>
      <c r="I52" s="621" t="s">
        <v>196</v>
      </c>
      <c r="J52" s="655">
        <f>J40*P68</f>
        <v>1159921971.9808476</v>
      </c>
      <c r="K52" s="675" t="s">
        <v>197</v>
      </c>
      <c r="M52" s="602" t="s">
        <v>207</v>
      </c>
      <c r="N52" s="603" t="s">
        <v>208</v>
      </c>
      <c r="O52" s="603" t="s">
        <v>209</v>
      </c>
      <c r="P52" s="658">
        <v>1</v>
      </c>
      <c r="Q52" s="664" t="s">
        <v>201</v>
      </c>
    </row>
    <row r="53" spans="1:26" ht="30" hidden="1" customHeight="1">
      <c r="A53" s="615" t="s">
        <v>210</v>
      </c>
      <c r="B53" s="623" t="s">
        <v>211</v>
      </c>
      <c r="C53" s="623">
        <v>0</v>
      </c>
      <c r="D53" s="625">
        <v>0</v>
      </c>
      <c r="E53" s="626" t="s">
        <v>119</v>
      </c>
      <c r="F53" s="594"/>
      <c r="G53" s="627" t="s">
        <v>204</v>
      </c>
      <c r="H53" s="628" t="s">
        <v>205</v>
      </c>
      <c r="I53" s="623" t="s">
        <v>206</v>
      </c>
      <c r="J53" s="657">
        <f>J40*P75</f>
        <v>1209044795.1764495</v>
      </c>
      <c r="K53" s="676" t="s">
        <v>197</v>
      </c>
      <c r="M53" s="602" t="s">
        <v>215</v>
      </c>
      <c r="N53" s="603" t="s">
        <v>216</v>
      </c>
      <c r="O53" s="603" t="s">
        <v>217</v>
      </c>
      <c r="P53" s="658">
        <v>14</v>
      </c>
      <c r="Q53" s="664" t="s">
        <v>201</v>
      </c>
      <c r="R53" s="653"/>
    </row>
    <row r="54" spans="1:26" ht="70.5" hidden="1" customHeight="1">
      <c r="A54" s="615" t="s">
        <v>218</v>
      </c>
      <c r="B54" s="623" t="s">
        <v>19</v>
      </c>
      <c r="C54" s="623">
        <f>VLOOKUP($C$35,$S$37:$AU$52,23,FALSE)</f>
        <v>9344</v>
      </c>
      <c r="D54" s="625">
        <f>B4</f>
        <v>9344</v>
      </c>
      <c r="E54" s="626" t="s">
        <v>119</v>
      </c>
      <c r="F54" s="594"/>
      <c r="G54" s="629" t="s">
        <v>212</v>
      </c>
      <c r="H54" s="630" t="s">
        <v>213</v>
      </c>
      <c r="I54" s="617" t="s">
        <v>214</v>
      </c>
      <c r="J54" s="673">
        <f>1250*D61*(100-D64)</f>
        <v>1225000000</v>
      </c>
      <c r="K54" s="677" t="s">
        <v>197</v>
      </c>
      <c r="M54" s="602" t="s">
        <v>220</v>
      </c>
      <c r="N54" s="603" t="s">
        <v>221</v>
      </c>
      <c r="O54" s="603" t="s">
        <v>222</v>
      </c>
      <c r="P54" s="658">
        <v>20</v>
      </c>
      <c r="Q54" s="664" t="s">
        <v>201</v>
      </c>
      <c r="R54" s="653"/>
    </row>
    <row r="55" spans="1:26" ht="45" hidden="1" customHeight="1">
      <c r="A55" s="618" t="s">
        <v>223</v>
      </c>
      <c r="B55" s="617" t="s">
        <v>20</v>
      </c>
      <c r="C55" s="617">
        <f>VLOOKUP($C$35,$S$37:$AU$52,24,FALSE)</f>
        <v>7000</v>
      </c>
      <c r="D55" s="631">
        <f>B5</f>
        <v>7000</v>
      </c>
      <c r="E55" s="614" t="s">
        <v>119</v>
      </c>
      <c r="F55" s="594"/>
      <c r="G55" s="1327" t="s">
        <v>219</v>
      </c>
      <c r="H55" s="1328"/>
      <c r="I55" s="1328"/>
      <c r="J55" s="1328"/>
      <c r="K55" s="1329"/>
      <c r="M55" s="602" t="s">
        <v>227</v>
      </c>
      <c r="N55" s="603" t="s">
        <v>228</v>
      </c>
      <c r="O55" s="603" t="s">
        <v>229</v>
      </c>
      <c r="P55" s="658">
        <v>8</v>
      </c>
      <c r="Q55" s="664" t="s">
        <v>201</v>
      </c>
      <c r="R55" s="653"/>
    </row>
    <row r="56" spans="1:26" ht="45.75" hidden="1" customHeight="1">
      <c r="A56" s="1327" t="s">
        <v>230</v>
      </c>
      <c r="B56" s="1328"/>
      <c r="C56" s="1328"/>
      <c r="D56" s="1328"/>
      <c r="E56" s="1329"/>
      <c r="F56" s="594"/>
      <c r="G56" s="632" t="s">
        <v>224</v>
      </c>
      <c r="H56" s="633" t="s">
        <v>225</v>
      </c>
      <c r="I56" s="621" t="s">
        <v>226</v>
      </c>
      <c r="J56" s="655">
        <f>IF(D61=10000,0,IF(D61=5000,1,IF(D61=2500,2,IF(D61=1000,3,3))))</f>
        <v>0</v>
      </c>
      <c r="K56" s="675" t="s">
        <v>163</v>
      </c>
      <c r="M56" s="602" t="s">
        <v>234</v>
      </c>
      <c r="N56" s="603" t="s">
        <v>235</v>
      </c>
      <c r="O56" s="603" t="s">
        <v>229</v>
      </c>
      <c r="P56" s="658">
        <v>8</v>
      </c>
      <c r="Q56" s="664" t="s">
        <v>201</v>
      </c>
    </row>
    <row r="57" spans="1:26" ht="48" hidden="1" customHeight="1">
      <c r="A57" s="634" t="s">
        <v>236</v>
      </c>
      <c r="B57" s="635" t="s">
        <v>237</v>
      </c>
      <c r="C57" s="636">
        <v>0</v>
      </c>
      <c r="D57" s="637">
        <v>0</v>
      </c>
      <c r="E57" s="638" t="s">
        <v>122</v>
      </c>
      <c r="F57" s="594"/>
      <c r="G57" s="639" t="s">
        <v>231</v>
      </c>
      <c r="H57" s="640" t="s">
        <v>232</v>
      </c>
      <c r="I57" s="678" t="s">
        <v>233</v>
      </c>
      <c r="J57" s="679">
        <f>ROUNDUP(D63*VLOOKUP($C$35,$S$37:$AU$40,27,FALSE)/1000,0)</f>
        <v>0</v>
      </c>
      <c r="K57" s="680" t="s">
        <v>154</v>
      </c>
      <c r="M57" s="602" t="s">
        <v>239</v>
      </c>
      <c r="N57" s="603" t="s">
        <v>240</v>
      </c>
      <c r="O57" s="603" t="s">
        <v>241</v>
      </c>
      <c r="P57" s="658">
        <v>4</v>
      </c>
      <c r="Q57" s="664" t="s">
        <v>201</v>
      </c>
    </row>
    <row r="58" spans="1:26" ht="30" hidden="1" customHeight="1">
      <c r="A58" s="1327" t="s">
        <v>242</v>
      </c>
      <c r="B58" s="1328"/>
      <c r="C58" s="1328"/>
      <c r="D58" s="1328"/>
      <c r="E58" s="1329"/>
      <c r="G58" s="1327" t="s">
        <v>238</v>
      </c>
      <c r="H58" s="1328"/>
      <c r="I58" s="1328"/>
      <c r="J58" s="1328"/>
      <c r="K58" s="1329"/>
      <c r="M58" s="602" t="s">
        <v>246</v>
      </c>
      <c r="N58" s="603" t="s">
        <v>247</v>
      </c>
      <c r="O58" s="603" t="s">
        <v>248</v>
      </c>
      <c r="P58" s="658">
        <v>12</v>
      </c>
      <c r="Q58" s="664" t="s">
        <v>201</v>
      </c>
      <c r="S58" s="1330" t="s">
        <v>255</v>
      </c>
      <c r="T58" s="1331"/>
      <c r="U58" s="1331"/>
      <c r="V58" s="1331"/>
      <c r="W58" s="1331"/>
      <c r="X58" s="1332"/>
    </row>
    <row r="59" spans="1:26" ht="62.25" hidden="1" customHeight="1">
      <c r="A59" s="641" t="s">
        <v>249</v>
      </c>
      <c r="B59" s="642" t="s">
        <v>250</v>
      </c>
      <c r="C59" s="643">
        <v>0</v>
      </c>
      <c r="D59" s="644">
        <v>0</v>
      </c>
      <c r="E59" s="645" t="s">
        <v>122</v>
      </c>
      <c r="G59" s="646" t="s">
        <v>243</v>
      </c>
      <c r="H59" s="647" t="s">
        <v>244</v>
      </c>
      <c r="I59" s="681" t="s">
        <v>245</v>
      </c>
      <c r="J59" s="682">
        <f>IF(ROUNDUP(P82*1000*8/D61,0)&gt;200000000,200000000,ROUNDUP(P82*1000*8/D61,0))</f>
        <v>218116</v>
      </c>
      <c r="K59" s="683" t="s">
        <v>106</v>
      </c>
      <c r="M59" s="602" t="s">
        <v>252</v>
      </c>
      <c r="N59" s="623" t="s">
        <v>253</v>
      </c>
      <c r="O59" s="603" t="s">
        <v>254</v>
      </c>
      <c r="P59" s="658">
        <f>P54+P55+P56</f>
        <v>36</v>
      </c>
      <c r="Q59" s="664" t="s">
        <v>201</v>
      </c>
      <c r="S59" s="597" t="s">
        <v>263</v>
      </c>
      <c r="T59" s="598" t="s">
        <v>264</v>
      </c>
      <c r="U59" s="598" t="s">
        <v>92</v>
      </c>
      <c r="V59" s="598" t="s">
        <v>93</v>
      </c>
      <c r="W59" s="698" t="s">
        <v>265</v>
      </c>
      <c r="X59" s="599" t="s">
        <v>266</v>
      </c>
    </row>
    <row r="60" spans="1:26" ht="50.25" hidden="1" customHeight="1">
      <c r="A60" s="1327" t="s">
        <v>256</v>
      </c>
      <c r="B60" s="1328"/>
      <c r="C60" s="1328"/>
      <c r="D60" s="1328"/>
      <c r="E60" s="1329"/>
      <c r="G60" s="1327" t="s">
        <v>251</v>
      </c>
      <c r="H60" s="1328"/>
      <c r="I60" s="1328"/>
      <c r="J60" s="1328"/>
      <c r="K60" s="1329"/>
      <c r="M60" s="602" t="s">
        <v>260</v>
      </c>
      <c r="N60" s="623" t="s">
        <v>261</v>
      </c>
      <c r="O60" s="603" t="s">
        <v>262</v>
      </c>
      <c r="P60" s="658">
        <f>P51+P52+P53+P57</f>
        <v>26</v>
      </c>
      <c r="Q60" s="664" t="s">
        <v>201</v>
      </c>
      <c r="S60" s="699" t="s">
        <v>274</v>
      </c>
      <c r="T60" s="621" t="str">
        <f>IF(OR(C36="A7",C36="KU3P"),"0x01001004","0x77601654")</f>
        <v>0x01001004</v>
      </c>
      <c r="U60" s="700" t="s">
        <v>275</v>
      </c>
      <c r="V60" s="601" t="s">
        <v>147</v>
      </c>
      <c r="W60" s="701" t="str">
        <f>DEC2HEX(J48)</f>
        <v>0</v>
      </c>
      <c r="X60" s="702"/>
    </row>
    <row r="61" spans="1:26" ht="156" hidden="1" customHeight="1">
      <c r="A61" s="620" t="s">
        <v>267</v>
      </c>
      <c r="B61" s="621" t="s">
        <v>268</v>
      </c>
      <c r="C61" s="648" t="s">
        <v>122</v>
      </c>
      <c r="D61" s="649">
        <f>B12</f>
        <v>10000</v>
      </c>
      <c r="E61" s="611" t="s">
        <v>269</v>
      </c>
      <c r="G61" s="646" t="s">
        <v>257</v>
      </c>
      <c r="H61" s="647" t="s">
        <v>251</v>
      </c>
      <c r="I61" s="681" t="s">
        <v>258</v>
      </c>
      <c r="J61" s="682">
        <f>IF((100-ROUNDDOWN(10*P77/(125000*D61),0)-1)&lt;0,0,(100-ROUNDDOWN(10*P77/(125000*D61),0)-1))</f>
        <v>99</v>
      </c>
      <c r="K61" s="683" t="s">
        <v>259</v>
      </c>
      <c r="M61" s="608" t="s">
        <v>271</v>
      </c>
      <c r="N61" s="609" t="s">
        <v>272</v>
      </c>
      <c r="O61" s="609" t="s">
        <v>273</v>
      </c>
      <c r="P61" s="665">
        <f>64-P53-P57-P59</f>
        <v>10</v>
      </c>
      <c r="Q61" s="666" t="s">
        <v>201</v>
      </c>
      <c r="S61" s="703" t="s">
        <v>281</v>
      </c>
      <c r="T61" s="623" t="str">
        <f>IF(OR(C36="A7",C36="KU3P"),"0x01001008","0x77601658")</f>
        <v>0x01001008</v>
      </c>
      <c r="U61" s="704" t="s">
        <v>282</v>
      </c>
      <c r="V61" s="603" t="s">
        <v>141</v>
      </c>
      <c r="W61" s="705" t="str">
        <f>DEC2HEX(J47)</f>
        <v>C343</v>
      </c>
      <c r="X61" s="706"/>
    </row>
    <row r="62" spans="1:26" ht="42.75" hidden="1">
      <c r="A62" s="615" t="s">
        <v>276</v>
      </c>
      <c r="B62" s="623" t="s">
        <v>34</v>
      </c>
      <c r="C62" s="650">
        <v>1500</v>
      </c>
      <c r="D62" s="625">
        <f>B19</f>
        <v>1500</v>
      </c>
      <c r="E62" s="626" t="s">
        <v>201</v>
      </c>
      <c r="G62" s="1327" t="s">
        <v>270</v>
      </c>
      <c r="H62" s="1328"/>
      <c r="I62" s="1328"/>
      <c r="J62" s="1328"/>
      <c r="K62" s="1329"/>
      <c r="M62" s="1327" t="s">
        <v>280</v>
      </c>
      <c r="N62" s="1328"/>
      <c r="O62" s="1328"/>
      <c r="P62" s="1328"/>
      <c r="Q62" s="1329"/>
      <c r="S62" s="703" t="s">
        <v>286</v>
      </c>
      <c r="T62" s="623" t="str">
        <f>IF(OR(C36="A7",C36="KU3P"),"0x01001010","0x7760165c")</f>
        <v>0x01001010</v>
      </c>
      <c r="U62" s="704" t="s">
        <v>287</v>
      </c>
      <c r="V62" s="603" t="s">
        <v>114</v>
      </c>
      <c r="W62" s="705" t="str">
        <f>DEC2HEX(MAX(J42,J43,J44,J45))</f>
        <v>DC46</v>
      </c>
      <c r="X62" s="706"/>
    </row>
    <row r="63" spans="1:26" ht="57" hidden="1" customHeight="1">
      <c r="A63" s="615" t="str">
        <f>"流通道包间隔 
范围:0"&amp;"-"&amp;J59</f>
        <v>流通道包间隔 
范围:0-218116</v>
      </c>
      <c r="B63" s="623" t="s">
        <v>32</v>
      </c>
      <c r="C63" s="650">
        <v>0</v>
      </c>
      <c r="D63" s="625">
        <f>B17</f>
        <v>0</v>
      </c>
      <c r="E63" s="626" t="s">
        <v>106</v>
      </c>
      <c r="G63" s="632" t="s">
        <v>277</v>
      </c>
      <c r="H63" s="633" t="s">
        <v>278</v>
      </c>
      <c r="I63" s="621" t="s">
        <v>279</v>
      </c>
      <c r="J63" s="684" t="str">
        <f>IF((D48=1)*(D42="TriggerWidth"),ROUNDUP(J42+MAX(D45,D46)-(D45-P43*J38/1000)*(D45&gt;ROUNDUP(6*J38/1000,0)),0),"null")</f>
        <v>null</v>
      </c>
      <c r="K63" s="685" t="s">
        <v>117</v>
      </c>
      <c r="M63" s="597" t="s">
        <v>91</v>
      </c>
      <c r="N63" s="598" t="s">
        <v>92</v>
      </c>
      <c r="O63" s="598" t="s">
        <v>93</v>
      </c>
      <c r="P63" s="598" t="s">
        <v>96</v>
      </c>
      <c r="Q63" s="689" t="s">
        <v>95</v>
      </c>
      <c r="S63" s="703" t="s">
        <v>291</v>
      </c>
      <c r="T63" s="623" t="str">
        <f>IF(OR(C36="A7",C36="KU3P"),"0x01001014","0x77601850")</f>
        <v>0x01001014</v>
      </c>
      <c r="U63" s="704" t="s">
        <v>292</v>
      </c>
      <c r="V63" s="603" t="s">
        <v>114</v>
      </c>
      <c r="W63" s="705" t="str">
        <f>IF(D42="TriggerWidth",DEC2HEX(MAX(J42,J44)),DEC2HEX(MAX(J42,J43,J44)))</f>
        <v>C3B6</v>
      </c>
      <c r="X63" s="706"/>
    </row>
    <row r="64" spans="1:26" ht="60" hidden="1" customHeight="1">
      <c r="A64" s="618" t="str">
        <f>"预留带宽 
范围:0-"&amp;J61</f>
        <v>预留带宽 
范围:0-99</v>
      </c>
      <c r="B64" s="617" t="s">
        <v>30</v>
      </c>
      <c r="C64" s="651">
        <v>10</v>
      </c>
      <c r="D64" s="631">
        <f>B15</f>
        <v>2</v>
      </c>
      <c r="E64" s="614" t="s">
        <v>259</v>
      </c>
      <c r="G64" s="639" t="s">
        <v>283</v>
      </c>
      <c r="H64" s="640" t="s">
        <v>284</v>
      </c>
      <c r="I64" s="678" t="s">
        <v>285</v>
      </c>
      <c r="J64" s="686" t="str">
        <f>IF((D48=1)*(D42="TriggerWidth"),MAX(D45,D46)+P44/P38,"null")</f>
        <v>null</v>
      </c>
      <c r="K64" s="680" t="s">
        <v>117</v>
      </c>
      <c r="M64" s="600" t="s">
        <v>288</v>
      </c>
      <c r="N64" s="621" t="s">
        <v>289</v>
      </c>
      <c r="O64" s="601" t="s">
        <v>290</v>
      </c>
      <c r="P64" s="656">
        <f>36</f>
        <v>36</v>
      </c>
      <c r="Q64" s="693" t="s">
        <v>201</v>
      </c>
      <c r="S64" s="703" t="s">
        <v>297</v>
      </c>
      <c r="T64" s="623" t="str">
        <f>IF(OR(C36="A7",C36="KU3P"),"0x01001018","待定")</f>
        <v>0x01001018</v>
      </c>
      <c r="U64" s="704" t="s">
        <v>298</v>
      </c>
      <c r="V64" s="623" t="s">
        <v>114</v>
      </c>
      <c r="W64" s="705" t="str">
        <f>DEC2HEX(MAX(J42,J43))</f>
        <v>C3B6</v>
      </c>
      <c r="X64" s="706"/>
    </row>
    <row r="65" spans="1:24" ht="50.1" hidden="1" customHeight="1">
      <c r="A65" s="1327" t="s">
        <v>293</v>
      </c>
      <c r="B65" s="1328"/>
      <c r="C65" s="1328"/>
      <c r="D65" s="1328"/>
      <c r="E65" s="1329"/>
      <c r="M65" s="602" t="s">
        <v>294</v>
      </c>
      <c r="N65" s="623" t="s">
        <v>295</v>
      </c>
      <c r="O65" s="603" t="s">
        <v>296</v>
      </c>
      <c r="P65" s="658">
        <v>10</v>
      </c>
      <c r="Q65" s="664" t="s">
        <v>201</v>
      </c>
      <c r="S65" s="703" t="s">
        <v>304</v>
      </c>
      <c r="T65" s="623" t="str">
        <f>IF(OR(C36="A7",C36="KU3P"),"0x0100100C","0x7760185C")</f>
        <v>0x0100100C</v>
      </c>
      <c r="U65" s="704" t="s">
        <v>305</v>
      </c>
      <c r="V65" s="603" t="s">
        <v>135</v>
      </c>
      <c r="W65" s="705" t="str">
        <f>DEC2HEX(J42)</f>
        <v>AA4C</v>
      </c>
      <c r="X65" s="706"/>
    </row>
    <row r="66" spans="1:24" ht="75" hidden="1" customHeight="1">
      <c r="A66" s="600" t="s">
        <v>299</v>
      </c>
      <c r="B66" s="601" t="s">
        <v>300</v>
      </c>
      <c r="C66" s="601">
        <v>0</v>
      </c>
      <c r="D66" s="612">
        <f>B13</f>
        <v>1</v>
      </c>
      <c r="E66" s="624" t="s">
        <v>122</v>
      </c>
      <c r="M66" s="728" t="s">
        <v>301</v>
      </c>
      <c r="N66" s="729" t="s">
        <v>302</v>
      </c>
      <c r="O66" s="729" t="s">
        <v>303</v>
      </c>
      <c r="P66" s="657">
        <v>60</v>
      </c>
      <c r="Q66" s="676" t="s">
        <v>201</v>
      </c>
      <c r="S66" s="733" t="s">
        <v>310</v>
      </c>
      <c r="T66" s="623" t="str">
        <f>IF(OR(C36="A7",C36="KU3P"),"0x0100101C","0x77601860")</f>
        <v>0x0100101C</v>
      </c>
      <c r="U66" s="704" t="s">
        <v>311</v>
      </c>
      <c r="V66" s="603" t="s">
        <v>312</v>
      </c>
      <c r="W66" s="734" t="str">
        <f>DEC2HEX(IF(P46=1,ROUNDUP(6*J38/1000,0),0))</f>
        <v>26</v>
      </c>
      <c r="X66" s="706"/>
    </row>
    <row r="67" spans="1:24" ht="43.5" hidden="1" customHeight="1">
      <c r="A67" s="608" t="s">
        <v>293</v>
      </c>
      <c r="B67" s="609" t="s">
        <v>306</v>
      </c>
      <c r="C67" s="609">
        <f>VLOOKUP($C$35,$S$37:$AU$52,25,FALSE)</f>
        <v>17</v>
      </c>
      <c r="D67" s="613">
        <f>B14</f>
        <v>40.799999999999997</v>
      </c>
      <c r="E67" s="723" t="s">
        <v>125</v>
      </c>
      <c r="G67" s="1333"/>
      <c r="H67" s="1333"/>
      <c r="I67" s="1333"/>
      <c r="J67" s="1333"/>
      <c r="K67" s="1333"/>
      <c r="M67" s="615" t="s">
        <v>307</v>
      </c>
      <c r="N67" s="623" t="s">
        <v>308</v>
      </c>
      <c r="O67" s="623" t="s">
        <v>309</v>
      </c>
      <c r="P67" s="657">
        <f>D54*D55*IF(D40=8,1,2)</f>
        <v>65408000</v>
      </c>
      <c r="Q67" s="664" t="s">
        <v>201</v>
      </c>
      <c r="S67" s="733" t="s">
        <v>317</v>
      </c>
      <c r="T67" s="623" t="str">
        <f>IF(OR(C36="A7",C36="KU3P"),"0x01100000","0x77601500")</f>
        <v>0x01100000</v>
      </c>
      <c r="U67" s="704" t="s">
        <v>318</v>
      </c>
      <c r="V67" s="623" t="s">
        <v>122</v>
      </c>
      <c r="W67" s="705" t="s">
        <v>319</v>
      </c>
      <c r="X67" s="706"/>
    </row>
    <row r="68" spans="1:24" ht="60" hidden="1" customHeight="1">
      <c r="A68" s="1327" t="s">
        <v>313</v>
      </c>
      <c r="B68" s="1328"/>
      <c r="C68" s="1328"/>
      <c r="D68" s="1328"/>
      <c r="E68" s="1329"/>
      <c r="G68" s="724"/>
      <c r="H68" s="724"/>
      <c r="I68" s="711"/>
      <c r="J68" s="711"/>
      <c r="K68" s="711"/>
      <c r="M68" s="602" t="s">
        <v>314</v>
      </c>
      <c r="N68" s="623" t="s">
        <v>315</v>
      </c>
      <c r="O68" s="623" t="s">
        <v>316</v>
      </c>
      <c r="P68" s="658">
        <f>P67+P66*D57</f>
        <v>65408000</v>
      </c>
      <c r="Q68" s="664" t="s">
        <v>201</v>
      </c>
      <c r="S68" s="735" t="s">
        <v>325</v>
      </c>
      <c r="T68" s="623" t="str">
        <f>IF(OR(C36="A7",C36="KU3P"),"0x01100010","0x7760147C")</f>
        <v>0x01100010</v>
      </c>
      <c r="U68" s="736" t="s">
        <v>326</v>
      </c>
      <c r="V68" s="609" t="s">
        <v>327</v>
      </c>
      <c r="W68" s="737" t="str">
        <f>DEC2HEX(ROUNDUP(J38*P38/1000,0)-D54/VLOOKUP($C$35,$S$37:$AU$52,5,FALSE)/VLOOKUP($C$35,$S$37:$AU$52,6,FALSE))</f>
        <v>A2</v>
      </c>
      <c r="X68" s="706"/>
    </row>
    <row r="69" spans="1:24" ht="126.75" hidden="1" customHeight="1">
      <c r="A69" s="600" t="s">
        <v>320</v>
      </c>
      <c r="B69" s="601" t="s">
        <v>321</v>
      </c>
      <c r="C69" s="601">
        <v>1</v>
      </c>
      <c r="D69" s="612">
        <f>B8</f>
        <v>1</v>
      </c>
      <c r="E69" s="624" t="s">
        <v>122</v>
      </c>
      <c r="M69" s="602" t="s">
        <v>322</v>
      </c>
      <c r="N69" s="623" t="s">
        <v>323</v>
      </c>
      <c r="O69" s="603" t="s">
        <v>324</v>
      </c>
      <c r="P69" s="730">
        <f>INT(P68/(D62-P59))</f>
        <v>44677</v>
      </c>
      <c r="Q69" s="664"/>
      <c r="S69" s="733" t="s">
        <v>333</v>
      </c>
      <c r="T69" s="623" t="s">
        <v>334</v>
      </c>
      <c r="U69" s="623" t="s">
        <v>335</v>
      </c>
      <c r="V69" s="623" t="s">
        <v>336</v>
      </c>
      <c r="W69" s="734" t="str">
        <f>"0x"&amp;DEC2HEX(D62-P59)</f>
        <v>0x5B8</v>
      </c>
      <c r="X69" s="738" t="s">
        <v>337</v>
      </c>
    </row>
    <row r="70" spans="1:24" ht="30" hidden="1" customHeight="1">
      <c r="A70" s="608" t="s">
        <v>328</v>
      </c>
      <c r="B70" s="609" t="s">
        <v>329</v>
      </c>
      <c r="C70" s="609">
        <v>1</v>
      </c>
      <c r="D70" s="613">
        <f>B9</f>
        <v>1</v>
      </c>
      <c r="E70" s="723" t="s">
        <v>122</v>
      </c>
      <c r="M70" s="602" t="s">
        <v>330</v>
      </c>
      <c r="N70" s="623" t="s">
        <v>331</v>
      </c>
      <c r="O70" s="603" t="s">
        <v>332</v>
      </c>
      <c r="P70" s="730">
        <f>P68-(D62-P59)*P69</f>
        <v>872</v>
      </c>
      <c r="Q70" s="664" t="s">
        <v>201</v>
      </c>
      <c r="S70" s="733" t="s">
        <v>342</v>
      </c>
      <c r="T70" s="623" t="s">
        <v>343</v>
      </c>
      <c r="U70" s="623" t="s">
        <v>344</v>
      </c>
      <c r="V70" s="623" t="s">
        <v>345</v>
      </c>
      <c r="W70" s="734" t="str">
        <f>"0x"&amp;DEC2HEX(J57)</f>
        <v>0x0</v>
      </c>
      <c r="X70" s="1341" t="s">
        <v>346</v>
      </c>
    </row>
    <row r="71" spans="1:24" ht="99.75" hidden="1" customHeight="1">
      <c r="A71" s="1327" t="s">
        <v>338</v>
      </c>
      <c r="B71" s="1328"/>
      <c r="C71" s="1328"/>
      <c r="D71" s="1328"/>
      <c r="E71" s="1329"/>
      <c r="M71" s="602" t="s">
        <v>339</v>
      </c>
      <c r="N71" s="623" t="s">
        <v>340</v>
      </c>
      <c r="O71" s="603" t="s">
        <v>341</v>
      </c>
      <c r="P71" s="658">
        <f>IF(MOD(P67,(D62-P59))=0,0,1)</f>
        <v>1</v>
      </c>
      <c r="Q71" s="664"/>
      <c r="S71" s="739" t="s">
        <v>352</v>
      </c>
      <c r="T71" s="678" t="s">
        <v>353</v>
      </c>
      <c r="U71" s="678" t="s">
        <v>354</v>
      </c>
      <c r="V71" s="678" t="s">
        <v>355</v>
      </c>
      <c r="W71" s="740" t="str">
        <f>"0x"&amp;DEC2HEX(J56)</f>
        <v>0x0</v>
      </c>
      <c r="X71" s="1342"/>
    </row>
    <row r="72" spans="1:24" ht="30" hidden="1" customHeight="1">
      <c r="A72" s="600" t="s">
        <v>347</v>
      </c>
      <c r="B72" s="601" t="s">
        <v>348</v>
      </c>
      <c r="C72" s="601">
        <v>1</v>
      </c>
      <c r="D72" s="612">
        <f>B6</f>
        <v>1</v>
      </c>
      <c r="E72" s="624" t="s">
        <v>122</v>
      </c>
      <c r="M72" s="602" t="s">
        <v>349</v>
      </c>
      <c r="N72" s="623" t="s">
        <v>350</v>
      </c>
      <c r="O72" s="603" t="s">
        <v>351</v>
      </c>
      <c r="P72" s="730">
        <f>IF(P70&lt;P61,P61,P70)</f>
        <v>872</v>
      </c>
      <c r="Q72" s="664" t="s">
        <v>201</v>
      </c>
      <c r="S72" s="733" t="s">
        <v>361</v>
      </c>
      <c r="T72" s="623" t="s">
        <v>362</v>
      </c>
      <c r="U72" s="623" t="s">
        <v>363</v>
      </c>
      <c r="V72" s="678" t="s">
        <v>364</v>
      </c>
      <c r="W72" s="740" t="str">
        <f>"0x"&amp;DEC2HEX(D45)</f>
        <v>0x2710</v>
      </c>
      <c r="X72" s="741"/>
    </row>
    <row r="73" spans="1:24" ht="30" hidden="1" customHeight="1">
      <c r="A73" s="608" t="s">
        <v>356</v>
      </c>
      <c r="B73" s="609" t="s">
        <v>357</v>
      </c>
      <c r="C73" s="609">
        <v>1</v>
      </c>
      <c r="D73" s="613">
        <f>B7</f>
        <v>1</v>
      </c>
      <c r="E73" s="723" t="s">
        <v>122</v>
      </c>
      <c r="M73" s="602" t="s">
        <v>358</v>
      </c>
      <c r="N73" s="623" t="s">
        <v>359</v>
      </c>
      <c r="O73" s="603" t="s">
        <v>360</v>
      </c>
      <c r="P73" s="730">
        <f>P60+P59+P64</f>
        <v>98</v>
      </c>
      <c r="Q73" s="664" t="s">
        <v>201</v>
      </c>
      <c r="S73" s="733" t="s">
        <v>369</v>
      </c>
      <c r="T73" s="623" t="s">
        <v>370</v>
      </c>
      <c r="U73" s="678" t="s">
        <v>371</v>
      </c>
      <c r="V73" s="678" t="s">
        <v>372</v>
      </c>
      <c r="W73" s="740" t="str">
        <f>"0x"&amp;IF((D48=1)*(D42="TriggerWidth"),1,0)</f>
        <v>0x0</v>
      </c>
      <c r="X73" s="742"/>
    </row>
    <row r="74" spans="1:24" ht="30" hidden="1" customHeight="1">
      <c r="A74" s="1334" t="s">
        <v>365</v>
      </c>
      <c r="B74" s="1335"/>
      <c r="C74" s="1335"/>
      <c r="D74" s="1335"/>
      <c r="E74" s="1336"/>
      <c r="M74" s="602" t="s">
        <v>366</v>
      </c>
      <c r="N74" s="623" t="s">
        <v>367</v>
      </c>
      <c r="O74" s="603" t="s">
        <v>368</v>
      </c>
      <c r="P74" s="730">
        <f>P60+P59+P65</f>
        <v>72</v>
      </c>
      <c r="Q74" s="664" t="s">
        <v>201</v>
      </c>
    </row>
    <row r="75" spans="1:24" ht="30" hidden="1" customHeight="1">
      <c r="A75" s="725" t="s">
        <v>58</v>
      </c>
      <c r="B75" s="1337" t="s">
        <v>373</v>
      </c>
      <c r="C75" s="1337"/>
      <c r="D75" s="1338">
        <f>J40</f>
        <v>17.733640716439083</v>
      </c>
      <c r="E75" s="1339"/>
      <c r="M75" s="602" t="s">
        <v>374</v>
      </c>
      <c r="N75" s="623" t="s">
        <v>375</v>
      </c>
      <c r="O75" s="603" t="s">
        <v>376</v>
      </c>
      <c r="P75" s="730">
        <f>P69*(D62+P60)+P71*(P72+P60+P59)</f>
        <v>68178036</v>
      </c>
      <c r="Q75" s="664" t="s">
        <v>201</v>
      </c>
    </row>
    <row r="76" spans="1:24" ht="45" hidden="1" customHeight="1">
      <c r="M76" s="615" t="s">
        <v>377</v>
      </c>
      <c r="N76" s="623" t="s">
        <v>378</v>
      </c>
      <c r="O76" s="623" t="s">
        <v>379</v>
      </c>
      <c r="P76" s="731">
        <f>(2+P71+P69)*P81</f>
        <v>893600</v>
      </c>
      <c r="Q76" s="676" t="s">
        <v>201</v>
      </c>
    </row>
    <row r="77" spans="1:24" ht="45" hidden="1" customHeight="1">
      <c r="I77" s="594"/>
      <c r="M77" s="615" t="s">
        <v>380</v>
      </c>
      <c r="N77" s="623" t="s">
        <v>381</v>
      </c>
      <c r="O77" s="623" t="s">
        <v>382</v>
      </c>
      <c r="P77" s="657">
        <f>P73+P74+P75+P76</f>
        <v>69071806</v>
      </c>
      <c r="Q77" s="676" t="s">
        <v>201</v>
      </c>
    </row>
    <row r="78" spans="1:24" ht="45" hidden="1" customHeight="1">
      <c r="M78" s="615" t="s">
        <v>383</v>
      </c>
      <c r="N78" s="623" t="s">
        <v>384</v>
      </c>
      <c r="O78" s="623" t="s">
        <v>385</v>
      </c>
      <c r="P78" s="657">
        <f>INT(1000000*D61*(100-D64)/80)</f>
        <v>12250000000</v>
      </c>
      <c r="Q78" s="676" t="s">
        <v>386</v>
      </c>
    </row>
    <row r="79" spans="1:24" ht="60" hidden="1" customHeight="1">
      <c r="M79" s="618" t="s">
        <v>387</v>
      </c>
      <c r="N79" s="617" t="s">
        <v>388</v>
      </c>
      <c r="O79" s="617" t="s">
        <v>389</v>
      </c>
      <c r="P79" s="673">
        <f>ROUNDUP(P77*1000000/P78,0)*10</f>
        <v>56390</v>
      </c>
      <c r="Q79" s="614" t="s">
        <v>117</v>
      </c>
    </row>
    <row r="80" spans="1:24" ht="78" hidden="1" customHeight="1">
      <c r="M80" s="1327" t="s">
        <v>390</v>
      </c>
      <c r="N80" s="1328"/>
      <c r="O80" s="1328"/>
      <c r="P80" s="1328"/>
      <c r="Q80" s="1329"/>
    </row>
    <row r="81" spans="13:17" ht="45" hidden="1" customHeight="1">
      <c r="M81" s="627" t="s">
        <v>391</v>
      </c>
      <c r="N81" s="732" t="s">
        <v>392</v>
      </c>
      <c r="O81" s="623" t="s">
        <v>393</v>
      </c>
      <c r="P81" s="657">
        <f>MAX(ROUNDUP(D63*D61/1000/8,0),P58+8)</f>
        <v>20</v>
      </c>
      <c r="Q81" s="676" t="s">
        <v>394</v>
      </c>
    </row>
    <row r="82" spans="13:17" ht="30" hidden="1" customHeight="1">
      <c r="M82" s="639" t="s">
        <v>395</v>
      </c>
      <c r="N82" s="640" t="s">
        <v>396</v>
      </c>
      <c r="O82" s="678" t="s">
        <v>397</v>
      </c>
      <c r="P82" s="679">
        <f>ROUNDDOWN((P78-(P75+P74+P73))/(P69+P71+2),0)</f>
        <v>272645</v>
      </c>
      <c r="Q82" s="680" t="s">
        <v>394</v>
      </c>
    </row>
    <row r="83" spans="13:17" ht="45" hidden="1" customHeight="1"/>
    <row r="84" spans="13:17" ht="30" hidden="1" customHeight="1"/>
    <row r="85" spans="13:17" ht="45" hidden="1" customHeight="1"/>
    <row r="86" spans="13:17" ht="60" customHeight="1"/>
    <row r="108" spans="7:9" ht="30" customHeight="1">
      <c r="G108" s="726"/>
      <c r="H108" s="1340"/>
      <c r="I108" s="1340"/>
    </row>
    <row r="109" spans="7:9" ht="30" customHeight="1">
      <c r="G109" s="726"/>
      <c r="H109" s="726"/>
      <c r="I109" s="726"/>
    </row>
    <row r="110" spans="7:9" ht="30" customHeight="1">
      <c r="G110" s="726"/>
      <c r="H110" s="726"/>
      <c r="I110" s="726"/>
    </row>
    <row r="111" spans="7:9" ht="30" customHeight="1">
      <c r="G111" s="726"/>
      <c r="H111" s="726"/>
      <c r="I111" s="726"/>
    </row>
    <row r="112" spans="7:9" ht="30" customHeight="1">
      <c r="G112" s="726"/>
      <c r="H112" s="726"/>
      <c r="I112" s="726"/>
    </row>
    <row r="113" spans="1:9" ht="30" customHeight="1">
      <c r="G113" s="726"/>
      <c r="H113" s="1340"/>
      <c r="I113" s="1340"/>
    </row>
    <row r="114" spans="1:9" ht="30" customHeight="1">
      <c r="F114" s="727"/>
      <c r="G114" s="726"/>
      <c r="H114" s="726"/>
      <c r="I114" s="726"/>
    </row>
    <row r="115" spans="1:9" ht="30" customHeight="1">
      <c r="A115" s="726"/>
      <c r="B115" s="726"/>
      <c r="C115" s="726"/>
      <c r="D115" s="726"/>
      <c r="F115" s="726"/>
      <c r="G115" s="726"/>
      <c r="H115" s="726"/>
      <c r="I115" s="726"/>
    </row>
    <row r="116" spans="1:9" ht="30" customHeight="1">
      <c r="A116" s="726"/>
      <c r="B116" s="726"/>
      <c r="C116" s="726"/>
      <c r="D116" s="726"/>
      <c r="F116" s="726"/>
      <c r="G116" s="726"/>
      <c r="H116" s="726"/>
      <c r="I116" s="726"/>
    </row>
    <row r="117" spans="1:9" ht="30" customHeight="1">
      <c r="A117" s="726"/>
      <c r="B117" s="726"/>
      <c r="C117" s="726"/>
      <c r="D117" s="726"/>
      <c r="F117" s="726"/>
      <c r="G117" s="726"/>
      <c r="H117" s="726"/>
      <c r="I117" s="726"/>
    </row>
    <row r="118" spans="1:9" ht="30" customHeight="1">
      <c r="A118" s="726"/>
      <c r="B118" s="726"/>
      <c r="C118" s="726"/>
      <c r="D118" s="726"/>
      <c r="E118" s="727"/>
      <c r="F118" s="726"/>
      <c r="G118" s="726"/>
      <c r="H118" s="1340"/>
      <c r="I118" s="1340"/>
    </row>
    <row r="119" spans="1:9" ht="30" customHeight="1">
      <c r="A119" s="726"/>
      <c r="B119" s="726"/>
      <c r="C119" s="726"/>
      <c r="D119" s="726"/>
      <c r="E119" s="726"/>
      <c r="F119" s="726"/>
      <c r="G119" s="726"/>
      <c r="H119" s="726"/>
      <c r="I119" s="726"/>
    </row>
    <row r="120" spans="1:9" ht="30" customHeight="1">
      <c r="A120" s="726"/>
      <c r="B120" s="726"/>
      <c r="C120" s="726"/>
      <c r="D120" s="726"/>
      <c r="E120" s="726"/>
      <c r="F120" s="726"/>
      <c r="G120" s="726"/>
      <c r="H120" s="726"/>
      <c r="I120" s="726"/>
    </row>
    <row r="121" spans="1:9" ht="30" customHeight="1">
      <c r="A121" s="726"/>
      <c r="B121" s="726"/>
      <c r="C121" s="726"/>
      <c r="D121" s="726"/>
      <c r="E121" s="726"/>
      <c r="F121" s="726"/>
      <c r="G121" s="726"/>
      <c r="H121" s="726"/>
      <c r="I121" s="726"/>
    </row>
    <row r="122" spans="1:9" ht="30" customHeight="1">
      <c r="A122" s="727"/>
      <c r="B122" s="727"/>
      <c r="C122" s="726"/>
      <c r="D122" s="726"/>
      <c r="E122" s="726"/>
      <c r="F122" s="726"/>
      <c r="G122" s="726"/>
      <c r="H122" s="726"/>
      <c r="I122" s="726"/>
    </row>
    <row r="123" spans="1:9" ht="30" customHeight="1">
      <c r="A123" s="726"/>
      <c r="B123" s="727"/>
      <c r="C123" s="726"/>
      <c r="D123" s="726"/>
      <c r="E123" s="726"/>
      <c r="F123" s="726"/>
      <c r="G123" s="726"/>
      <c r="H123" s="726"/>
      <c r="I123" s="726"/>
    </row>
    <row r="124" spans="1:9" ht="30" customHeight="1">
      <c r="A124" s="726"/>
      <c r="B124" s="727"/>
      <c r="C124" s="726"/>
      <c r="D124" s="726"/>
      <c r="E124" s="726"/>
      <c r="F124" s="726"/>
      <c r="G124" s="726"/>
      <c r="H124" s="726"/>
      <c r="I124" s="726"/>
    </row>
    <row r="125" spans="1:9" ht="30" customHeight="1">
      <c r="A125" s="726"/>
      <c r="B125" s="726"/>
      <c r="C125" s="726"/>
      <c r="D125" s="726"/>
      <c r="E125" s="726"/>
      <c r="F125" s="726"/>
      <c r="G125" s="726"/>
      <c r="H125" s="726"/>
      <c r="I125" s="726"/>
    </row>
    <row r="126" spans="1:9" ht="30" customHeight="1">
      <c r="A126" s="726"/>
      <c r="B126" s="726"/>
      <c r="C126" s="726"/>
      <c r="D126" s="726"/>
      <c r="E126" s="726"/>
      <c r="F126" s="726"/>
      <c r="G126" s="726"/>
      <c r="H126" s="726"/>
      <c r="I126" s="726"/>
    </row>
    <row r="127" spans="1:9" ht="30" customHeight="1">
      <c r="A127" s="726"/>
      <c r="B127" s="726"/>
      <c r="C127" s="726"/>
      <c r="D127" s="726"/>
      <c r="E127" s="726"/>
      <c r="F127" s="726"/>
      <c r="G127" s="726"/>
      <c r="H127" s="726"/>
      <c r="I127" s="726"/>
    </row>
    <row r="128" spans="1:9" ht="30" customHeight="1">
      <c r="A128" s="726"/>
      <c r="B128" s="726"/>
      <c r="C128" s="726"/>
      <c r="D128" s="726"/>
      <c r="E128" s="726"/>
      <c r="F128" s="726"/>
      <c r="G128" s="726"/>
      <c r="H128" s="726"/>
      <c r="I128" s="726"/>
    </row>
    <row r="129" spans="1:9" ht="30" customHeight="1">
      <c r="A129" s="726"/>
      <c r="B129" s="726"/>
      <c r="C129" s="726"/>
      <c r="D129" s="726"/>
      <c r="E129" s="726"/>
      <c r="F129" s="726"/>
      <c r="G129" s="726"/>
      <c r="H129" s="726"/>
      <c r="I129" s="726"/>
    </row>
    <row r="130" spans="1:9" ht="30" customHeight="1">
      <c r="A130" s="726"/>
      <c r="B130" s="726"/>
      <c r="C130" s="726"/>
      <c r="D130" s="726"/>
      <c r="E130" s="726"/>
      <c r="F130" s="726"/>
      <c r="G130" s="726"/>
      <c r="H130" s="726"/>
      <c r="I130" s="726"/>
    </row>
    <row r="131" spans="1:9" ht="30" customHeight="1">
      <c r="A131" s="726"/>
      <c r="B131" s="726"/>
      <c r="C131" s="726"/>
      <c r="D131" s="726"/>
      <c r="E131" s="726"/>
      <c r="F131" s="726"/>
      <c r="G131" s="726"/>
      <c r="H131" s="726"/>
      <c r="I131" s="726"/>
    </row>
    <row r="132" spans="1:9" ht="30" customHeight="1">
      <c r="A132" s="726"/>
      <c r="B132" s="726"/>
      <c r="C132" s="726"/>
      <c r="D132" s="726"/>
      <c r="E132" s="726"/>
      <c r="F132" s="726"/>
      <c r="G132" s="726"/>
      <c r="H132" s="726"/>
      <c r="I132" s="726"/>
    </row>
    <row r="133" spans="1:9" ht="30" customHeight="1">
      <c r="A133" s="726"/>
      <c r="B133" s="726"/>
      <c r="C133" s="726"/>
      <c r="D133" s="726"/>
      <c r="E133" s="726"/>
      <c r="F133" s="726"/>
    </row>
    <row r="134" spans="1:9" ht="30" customHeight="1">
      <c r="A134" s="726"/>
      <c r="B134" s="726"/>
      <c r="C134" s="726"/>
      <c r="D134" s="726"/>
      <c r="E134" s="726"/>
      <c r="F134" s="726"/>
    </row>
    <row r="135" spans="1:9" ht="30" customHeight="1">
      <c r="A135" s="726"/>
      <c r="B135" s="726"/>
      <c r="C135" s="726"/>
      <c r="D135" s="726"/>
      <c r="E135" s="726"/>
      <c r="F135" s="726"/>
    </row>
    <row r="136" spans="1:9" ht="30" customHeight="1">
      <c r="A136" s="726"/>
      <c r="B136" s="726"/>
      <c r="C136" s="726"/>
      <c r="D136" s="726"/>
      <c r="E136" s="726"/>
      <c r="F136" s="726"/>
    </row>
    <row r="137" spans="1:9" ht="30" customHeight="1">
      <c r="A137" s="726"/>
      <c r="B137" s="726"/>
      <c r="C137" s="726"/>
      <c r="D137" s="726"/>
      <c r="E137" s="726"/>
      <c r="F137" s="726"/>
    </row>
    <row r="138" spans="1:9" ht="30" customHeight="1">
      <c r="A138" s="726"/>
      <c r="B138" s="726"/>
      <c r="C138" s="726"/>
      <c r="D138" s="726"/>
      <c r="E138" s="726"/>
      <c r="F138" s="726"/>
    </row>
    <row r="139" spans="1:9" ht="30" customHeight="1">
      <c r="A139" s="726"/>
      <c r="B139" s="726"/>
      <c r="C139" s="726"/>
      <c r="D139" s="726"/>
      <c r="E139" s="726"/>
    </row>
    <row r="140" spans="1:9" ht="30" customHeight="1">
      <c r="E140" s="726"/>
    </row>
    <row r="141" spans="1:9" ht="30" customHeight="1">
      <c r="E141" s="726"/>
    </row>
    <row r="142" spans="1:9" ht="30" customHeight="1">
      <c r="E142" s="726"/>
    </row>
  </sheetData>
  <sheetProtection algorithmName="SHA-512" hashValue="KI/wbPWazySBVPKxOVGP8l5xD4Go5ppzKTpijSJ2Z63wQEVARlNU+rYIgcOYbFFWKd189pcEFSOK/BqvUPjWHg==" saltValue="37ToX7ruO/fiairzynqi9A==" spinCount="100000" sheet="1" objects="1" scenarios="1"/>
  <mergeCells count="36">
    <mergeCell ref="M80:Q80"/>
    <mergeCell ref="H108:I108"/>
    <mergeCell ref="H113:I113"/>
    <mergeCell ref="H118:I118"/>
    <mergeCell ref="X70:X71"/>
    <mergeCell ref="G67:K67"/>
    <mergeCell ref="A68:E68"/>
    <mergeCell ref="A71:E71"/>
    <mergeCell ref="A74:E74"/>
    <mergeCell ref="B75:C75"/>
    <mergeCell ref="D75:E75"/>
    <mergeCell ref="A60:E60"/>
    <mergeCell ref="G60:K60"/>
    <mergeCell ref="G62:K62"/>
    <mergeCell ref="M62:Q62"/>
    <mergeCell ref="A65:E65"/>
    <mergeCell ref="G55:K55"/>
    <mergeCell ref="A56:E56"/>
    <mergeCell ref="A58:E58"/>
    <mergeCell ref="G58:K58"/>
    <mergeCell ref="S58:X58"/>
    <mergeCell ref="A47:E47"/>
    <mergeCell ref="A49:E49"/>
    <mergeCell ref="M49:Q49"/>
    <mergeCell ref="A51:E51"/>
    <mergeCell ref="G51:K51"/>
    <mergeCell ref="A37:E37"/>
    <mergeCell ref="A39:E39"/>
    <mergeCell ref="A41:E41"/>
    <mergeCell ref="G41:K41"/>
    <mergeCell ref="G46:K46"/>
    <mergeCell ref="G35:K35"/>
    <mergeCell ref="M35:Q35"/>
    <mergeCell ref="S35:AV35"/>
    <mergeCell ref="G36:K36"/>
    <mergeCell ref="M36:Q36"/>
  </mergeCells>
  <phoneticPr fontId="36" type="noConversion"/>
  <dataValidations count="38">
    <dataValidation type="custom" allowBlank="1" showInputMessage="1" showErrorMessage="1" errorTitle="输入数值非法" error="Input range:[2,'HeightMax'],and is an integer multiple of 2" sqref="B5">
      <formula1>AND((B5&lt;=B3),(B5&gt;=2),(MOD(B5,2)=0))</formula1>
    </dataValidation>
    <dataValidation type="whole" allowBlank="1" showInputMessage="1" showErrorMessage="1" error="Set the value range:[ 0,'GevSCPDMaxValue']" sqref="B17">
      <formula1>0</formula1>
      <formula2>B18</formula2>
    </dataValidation>
    <dataValidation allowBlank="1" showInputMessage="1" showErrorMessage="1" error="输入范围是64~1024，步长为2" sqref="B1"/>
    <dataValidation type="custom" allowBlank="1" showInputMessage="1" showErrorMessage="1" error="Input 1 or 2, and can not be entered when the 'DecimationHorizontal' is not 1" sqref="B6">
      <formula1>AND(OR((B6=1),(B6=2)),B8=1)</formula1>
    </dataValidation>
    <dataValidation type="whole" allowBlank="1" showInputMessage="1" showErrorMessage="1" errorTitle="设置值超出范围" error="预留带宽设置值超出范围" sqref="D64">
      <formula1>0</formula1>
      <formula2>J61</formula2>
    </dataValidation>
    <dataValidation type="custom" allowBlank="1" showInputMessage="1" showErrorMessage="1" errorTitle="输入数值非法" error="Input range:[16,'WidthMax'],and is an integer multiple of 16" sqref="B4">
      <formula1>AND((B4&lt;=B2),(B4&gt;=4),(MOD(B4,4)=0))</formula1>
    </dataValidation>
    <dataValidation type="custom" allowBlank="1" showInputMessage="1" showErrorMessage="1" error="Input 1 or 2, and can not be entered when the 'DecimationVertical' is not 1" sqref="B7">
      <formula1>AND(OR((B7=1),(B7=2)),B9=1)</formula1>
    </dataValidation>
    <dataValidation type="custom" allowBlank="1" showInputMessage="1" showErrorMessage="1" error="Input 1 or 2, and can not be entered when the 'BinningVertical' is not 1" sqref="B9">
      <formula1>AND(OR((B9=1),(B9=2)),(B7=1))</formula1>
    </dataValidation>
    <dataValidation type="whole" allowBlank="1" showInputMessage="1" showErrorMessage="1" errorTitle="输入数值非法" error="最小值4，最大值D12" sqref="D45">
      <formula1>0</formula1>
      <formula2>1000000</formula2>
    </dataValidation>
    <dataValidation type="custom" allowBlank="1" showInputMessage="1" showErrorMessage="1" error="Input 1 or 2, and can not be entered when the 'BinningHorizontal' is not 1" sqref="B8">
      <formula1>AND(OR((B8=1),(B8=2)),B6=1)</formula1>
    </dataValidation>
    <dataValidation type="whole" allowBlank="1" showInputMessage="1" showErrorMessage="1" errorTitle="超出范围" error="The input range :[14,1000000]" sqref="B10">
      <formula1>14</formula1>
      <formula2>1000000</formula2>
    </dataValidation>
    <dataValidation type="custom" allowBlank="1" showInputMessage="1" showErrorMessage="1" error="Please enter 8 or 12" sqref="B11">
      <formula1>OR((B11=8),(B11=12))</formula1>
    </dataValidation>
    <dataValidation type="custom" allowBlank="1" showInputMessage="1" showErrorMessage="1" error="Please enter 10000 or 1000" sqref="B12">
      <formula1>OR((B12=10000),(B12=1000))</formula1>
    </dataValidation>
    <dataValidation type="list" allowBlank="1" showInputMessage="1" showErrorMessage="1" errorTitle="超出范围" error="曝光时间的范围是14us-1s" sqref="D42">
      <formula1>"Timed,TriggerWidth"</formula1>
    </dataValidation>
    <dataValidation type="list" allowBlank="1" showInputMessage="1" showErrorMessage="1" errorTitle="超出范围" error="Please input 0 or 1" sqref="B13 B21">
      <formula1>"0,1"</formula1>
    </dataValidation>
    <dataValidation type="whole" errorStyle="information" operator="lessThanOrEqual" allowBlank="1" showErrorMessage="1" error="设置水平Binning/Skipping时，需要同步修改水平ROI" sqref="D69 D72">
      <formula1>1</formula1>
    </dataValidation>
    <dataValidation type="custom" allowBlank="1" showInputMessage="1" showErrorMessage="1" error="Set the value range :[ 0.1,10000.0], accurate to one decimal" sqref="B14">
      <formula1>AND(TRUNC(B14,1)=B14,(B14&gt;=0.1),(B14&lt;=10000))</formula1>
    </dataValidation>
    <dataValidation type="whole" allowBlank="1" showInputMessage="1" showErrorMessage="1" error="Set the value range [ 0,'BandwidthReserveMaxValue']" sqref="B15">
      <formula1>0</formula1>
      <formula2>B16</formula2>
    </dataValidation>
    <dataValidation type="custom" allowBlank="1" showInputMessage="1" showErrorMessage="1" error="The input range :[512,8192], and the step size is 4" sqref="B19">
      <formula1>AND((B19&lt;=8192),(B19&gt;=512),(MOD(B19,4)=0))</formula1>
    </dataValidation>
    <dataValidation type="whole" allowBlank="1" showInputMessage="1" showErrorMessage="1" error="The input range: [0,5000]" sqref="B20">
      <formula1>0</formula1>
      <formula2>5000</formula2>
    </dataValidation>
    <dataValidation type="custom" allowBlank="1" showInputMessage="1" showErrorMessage="1" error="输入范围是512~8192，步长为4" sqref="B28:C28">
      <formula1>AND((B28&lt;=8192),(B28&gt;=512),(MOD(B28,4)=0))</formula1>
    </dataValidation>
    <dataValidation type="list" allowBlank="1" showInputMessage="1" showErrorMessage="1" sqref="C35">
      <formula1>$S$38</formula1>
    </dataValidation>
    <dataValidation type="whole" allowBlank="1" showInputMessage="1" showErrorMessage="1" errorTitle="输入数值非法" error="最小值2，最大值D13" sqref="D46">
      <formula1>2</formula1>
      <formula2>1000000</formula2>
    </dataValidation>
    <dataValidation type="list" allowBlank="1" showInputMessage="1" showErrorMessage="1" sqref="D40">
      <formula1>"8,12"</formula1>
    </dataValidation>
    <dataValidation type="list" allowBlank="1" showInputMessage="1" showErrorMessage="1" sqref="C36">
      <formula1>$AU$37:$AU$40</formula1>
    </dataValidation>
    <dataValidation type="whole" allowBlank="1" showInputMessage="1" showErrorMessage="1" errorTitle="超出范围" error="曝光时间的范围是14us-1s" sqref="D43">
      <formula1>14</formula1>
      <formula2>1000000</formula2>
    </dataValidation>
    <dataValidation type="whole" allowBlank="1" showInputMessage="1" showErrorMessage="1" errorTitle="超出范围" error="曝光延迟的范围是0-5000us" sqref="D44">
      <formula1>0</formula1>
      <formula2>5000</formula2>
    </dataValidation>
    <dataValidation type="list" allowBlank="1" showInputMessage="1" showErrorMessage="1" sqref="D48 D57 D59">
      <formula1>"0,1"</formula1>
    </dataValidation>
    <dataValidation type="whole" allowBlank="1" showInputMessage="1" showErrorMessage="1" errorTitle="超出范围" error="触发延时的范围是0-3000000us" sqref="D50">
      <formula1>0</formula1>
      <formula2>3000000</formula2>
    </dataValidation>
    <dataValidation type="whole" allowBlank="1" showInputMessage="1" showErrorMessage="1" errorTitle="输入数值非法" error="最小值4，最大值D12" sqref="D54">
      <formula1>4</formula1>
      <formula2>C54</formula2>
    </dataValidation>
    <dataValidation type="whole" allowBlank="1" showInputMessage="1" showErrorMessage="1" errorTitle="输入数值非法" error="最小值2，最大值D13" sqref="D55">
      <formula1>2</formula1>
      <formula2>C55</formula2>
    </dataValidation>
    <dataValidation type="list" allowBlank="1" showInputMessage="1" showErrorMessage="1" sqref="D61">
      <formula1>"1000,10000"</formula1>
    </dataValidation>
    <dataValidation type="custom" allowBlank="1" showInputMessage="1" showErrorMessage="1" sqref="D62">
      <formula1>AND(MOD(D62,4)=0,D62&gt;=512,D62&lt;=16384)</formula1>
    </dataValidation>
    <dataValidation type="whole" allowBlank="1" showInputMessage="1" showErrorMessage="1" errorTitle="设置值超出范围" error="包间隔设置值超出范围" sqref="D63">
      <formula1>J68</formula1>
      <formula2>J59</formula2>
    </dataValidation>
    <dataValidation type="list" allowBlank="1" showInputMessage="1" showErrorMessage="1" errorTitle="超出范围" error="0:关闭_x000a_1:打开" sqref="D66">
      <formula1>"0,1"</formula1>
    </dataValidation>
    <dataValidation type="decimal" allowBlank="1" showInputMessage="1" showErrorMessage="1" sqref="D67">
      <formula1>0.1</formula1>
      <formula2>10000</formula2>
    </dataValidation>
    <dataValidation type="whole" errorStyle="information" operator="lessThanOrEqual" allowBlank="1" showErrorMessage="1" error="设置垂直Binning/Skipping时，需要同步修改垂直ROI" sqref="D70 D73">
      <formula1>1</formula1>
    </dataValidation>
    <dataValidation allowBlank="1" showErrorMessage="1" promptTitle="参数变化" prompt="该参数会根据当前生效的水平像素Binning、水平像素抽样变化" sqref="B2:B3"/>
  </dataValidations>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49"/>
  <sheetViews>
    <sheetView workbookViewId="0">
      <selection activeCell="B99" sqref="B99"/>
    </sheetView>
  </sheetViews>
  <sheetFormatPr defaultColWidth="9" defaultRowHeight="14.25"/>
  <cols>
    <col min="1" max="1" width="28.625" style="1" customWidth="1"/>
    <col min="2" max="2" width="44.625" style="1" customWidth="1"/>
    <col min="3" max="3" width="17.25" style="1" customWidth="1"/>
    <col min="4" max="4" width="11.625" style="1" customWidth="1"/>
    <col min="5" max="5" width="6.75" style="1" customWidth="1"/>
    <col min="6" max="6" width="4.5" style="1" customWidth="1"/>
    <col min="7" max="7" width="17.75" style="1" customWidth="1"/>
    <col min="8" max="8" width="15.75" style="1" customWidth="1"/>
    <col min="9" max="9" width="57.375" style="1" customWidth="1"/>
    <col min="10" max="10" width="18.25" style="1" customWidth="1"/>
    <col min="11" max="12" width="4.5" style="1" customWidth="1"/>
    <col min="13" max="13" width="25.625" style="1" customWidth="1"/>
    <col min="14" max="14" width="35.125" style="1" customWidth="1"/>
    <col min="15" max="15" width="43.5" style="1" customWidth="1"/>
    <col min="16" max="16" width="12.875" style="1" customWidth="1"/>
    <col min="17" max="17" width="6.375" style="1" customWidth="1"/>
    <col min="18" max="18" width="4.875" style="1" customWidth="1"/>
    <col min="19" max="19" width="26.5" style="1" customWidth="1"/>
    <col min="20" max="20" width="13.125" style="1" customWidth="1"/>
    <col min="21" max="21" width="20.625" style="1" customWidth="1"/>
    <col min="22" max="22" width="23.375" style="1" customWidth="1"/>
    <col min="23" max="23" width="14.125" style="1" customWidth="1"/>
    <col min="24" max="24" width="18.875" style="1" customWidth="1"/>
    <col min="25" max="25" width="12" style="1" customWidth="1"/>
    <col min="26" max="26" width="14" style="1" customWidth="1"/>
    <col min="27" max="27" width="17" style="1" customWidth="1"/>
    <col min="28" max="28" width="20.375" style="1" customWidth="1"/>
    <col min="29" max="29" width="21" style="1" customWidth="1"/>
    <col min="30" max="30" width="20.25" style="1" customWidth="1"/>
    <col min="31" max="31" width="24.125" style="1" customWidth="1"/>
    <col min="32" max="32" width="11.625" style="1" customWidth="1"/>
    <col min="33" max="34" width="21.625" style="1" customWidth="1"/>
    <col min="35" max="35" width="17.25" style="1" customWidth="1"/>
    <col min="36" max="37" width="21.625" style="1" customWidth="1"/>
    <col min="38" max="38" width="19.375" style="1" customWidth="1"/>
    <col min="39" max="42" width="20.25" style="1" customWidth="1"/>
    <col min="43" max="44" width="23" style="1" customWidth="1"/>
    <col min="45" max="45" width="18.375" style="1" customWidth="1"/>
    <col min="46" max="47" width="20.375" style="1" customWidth="1"/>
    <col min="48" max="16384" width="9" style="1"/>
  </cols>
  <sheetData>
    <row r="1" spans="1:47" s="403" customFormat="1" ht="27">
      <c r="A1" s="1087" t="s">
        <v>1575</v>
      </c>
      <c r="B1" s="1088" t="s">
        <v>1576</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row>
    <row r="2" spans="1:47" s="403" customFormat="1">
      <c r="A2" s="1089" t="s">
        <v>17</v>
      </c>
      <c r="B2" s="1090">
        <f>IF(C30=1,C28,C26)</f>
        <v>1936</v>
      </c>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row>
    <row r="3" spans="1:47" s="403" customFormat="1">
      <c r="A3" s="1089" t="s">
        <v>18</v>
      </c>
      <c r="B3" s="1090">
        <f>IF(C31=1,C29,C27)</f>
        <v>1464</v>
      </c>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47" s="403" customFormat="1">
      <c r="A4" s="1087" t="s">
        <v>19</v>
      </c>
      <c r="B4" s="1088">
        <v>1936</v>
      </c>
      <c r="D4" s="1091" t="str">
        <f>IF(OR(B4&gt;B2,B4&lt;4),I25,"")</f>
        <v/>
      </c>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row>
    <row r="5" spans="1:47" s="403" customFormat="1">
      <c r="A5" s="1087" t="s">
        <v>20</v>
      </c>
      <c r="B5" s="1088">
        <v>1464</v>
      </c>
      <c r="D5" s="1091" t="str">
        <f>IF(OR(B5&gt;B3,B5&lt;2),I26,"")</f>
        <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47" s="403" customFormat="1">
      <c r="A6" s="1087" t="s">
        <v>21</v>
      </c>
      <c r="B6" s="1092">
        <v>1</v>
      </c>
      <c r="D6" s="109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47" s="403" customFormat="1">
      <c r="A7" s="1087" t="s">
        <v>22</v>
      </c>
      <c r="B7" s="1092">
        <v>1</v>
      </c>
      <c r="D7" s="109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47" s="403" customFormat="1">
      <c r="A8" s="1087" t="s">
        <v>25</v>
      </c>
      <c r="B8" s="1088">
        <v>10000</v>
      </c>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47" s="403" customFormat="1" ht="27">
      <c r="A9" s="1087" t="s">
        <v>1577</v>
      </c>
      <c r="B9" s="1088">
        <v>8</v>
      </c>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47" s="403" customFormat="1">
      <c r="A10" s="1087" t="s">
        <v>1578</v>
      </c>
      <c r="B10" s="1088" t="s">
        <v>1579</v>
      </c>
      <c r="D10" s="1093" t="str">
        <f>IF(OR(B9=8,B9="RGB8"),IF(AND(B10&lt;&gt;"BPP8",B10&lt;&gt;"BPP10",B10&lt;&gt;"BPP12"),"只能设置为BPP8,BPP10,BPP12",""),IF(OR(B9=10),IF(B10&lt;&gt;"BPP10","只能设置为BPP10",""),IF(OR(B9=12,B9="packed12"),IF(B10&lt;&gt;"BPP12","只能设置为BPP12",""),"")))</f>
        <v/>
      </c>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47" s="403" customFormat="1">
      <c r="A11" s="1087" t="s">
        <v>27</v>
      </c>
      <c r="B11" s="1088">
        <v>10000</v>
      </c>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47" s="403" customFormat="1">
      <c r="A12" s="1087" t="s">
        <v>28</v>
      </c>
      <c r="B12" s="1088">
        <v>0</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47" s="403" customFormat="1">
      <c r="A13" s="1087" t="s">
        <v>29</v>
      </c>
      <c r="B13" s="1088">
        <v>409</v>
      </c>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47" s="403" customFormat="1">
      <c r="A14" s="1087" t="s">
        <v>30</v>
      </c>
      <c r="B14" s="1088">
        <v>2</v>
      </c>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47" s="403" customFormat="1">
      <c r="A15" s="1087" t="s">
        <v>31</v>
      </c>
      <c r="B15" s="1094">
        <f>J63</f>
        <v>99</v>
      </c>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47" s="403" customFormat="1">
      <c r="A16" s="1087" t="s">
        <v>32</v>
      </c>
      <c r="B16" s="1088">
        <v>0</v>
      </c>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1:47" s="403" customFormat="1">
      <c r="A17" s="1087" t="s">
        <v>33</v>
      </c>
      <c r="B17" s="1094">
        <f>J61</f>
        <v>5055540</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1:47" s="403" customFormat="1">
      <c r="A18" s="1087" t="s">
        <v>34</v>
      </c>
      <c r="B18" s="1088">
        <v>1500</v>
      </c>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1:47" s="403" customFormat="1">
      <c r="A19" s="1095" t="s">
        <v>35</v>
      </c>
      <c r="B19" s="1096">
        <v>0</v>
      </c>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1:47" s="403" customFormat="1">
      <c r="A20" s="1087" t="s">
        <v>36</v>
      </c>
      <c r="B20" s="1088">
        <v>0</v>
      </c>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1:47" s="403" customFormat="1">
      <c r="A21" s="1097"/>
      <c r="B21" s="1098"/>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1:47" s="403" customFormat="1">
      <c r="A22" s="1097" t="s">
        <v>37</v>
      </c>
      <c r="B22" s="1099">
        <f>J41</f>
        <v>99.088386841062231</v>
      </c>
      <c r="D22" s="1091" t="str">
        <f>IF(I31,I27,"")</f>
        <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1:47" s="403" customFormat="1" hidden="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1:47" s="403" customFormat="1" hidden="1">
      <c r="I24" s="1100" t="s">
        <v>400</v>
      </c>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1:47" s="403" customFormat="1" hidden="1">
      <c r="I25" s="1100" t="s">
        <v>401</v>
      </c>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1:47" s="403" customFormat="1" hidden="1">
      <c r="A26" s="1358" t="s">
        <v>40</v>
      </c>
      <c r="B26" s="1359"/>
      <c r="C26" s="921">
        <v>960</v>
      </c>
      <c r="I26" s="1100" t="s">
        <v>1580</v>
      </c>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1:47" s="403" customFormat="1" hidden="1">
      <c r="A27" s="1358" t="s">
        <v>42</v>
      </c>
      <c r="B27" s="1359"/>
      <c r="C27" s="921">
        <v>728</v>
      </c>
      <c r="I27" s="1100" t="s">
        <v>403</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1:47" s="403" customFormat="1" hidden="1">
      <c r="A28" s="1358" t="s">
        <v>44</v>
      </c>
      <c r="B28" s="1359"/>
      <c r="C28" s="921">
        <v>1936</v>
      </c>
      <c r="I28" s="110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1:47" s="403" customFormat="1" hidden="1">
      <c r="A29" s="1358" t="s">
        <v>45</v>
      </c>
      <c r="B29" s="1359"/>
      <c r="C29" s="921">
        <v>1464</v>
      </c>
      <c r="I29" s="110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1:47" s="403" customFormat="1" hidden="1">
      <c r="A30" s="1358" t="s">
        <v>46</v>
      </c>
      <c r="B30" s="1359"/>
      <c r="C30" s="921">
        <f>B6</f>
        <v>1</v>
      </c>
      <c r="I30" s="1100" t="s">
        <v>404</v>
      </c>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1:47" s="403" customFormat="1" hidden="1">
      <c r="A31" s="1358" t="s">
        <v>48</v>
      </c>
      <c r="B31" s="1359"/>
      <c r="C31" s="921">
        <f>B7</f>
        <v>1</v>
      </c>
      <c r="I31" s="1100">
        <f>IF(OR(OR(B4&gt;B2,B4&lt;4),OR(B5&gt;B3,B5&lt;2)),1,0)</f>
        <v>0</v>
      </c>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1:47" s="403" customFormat="1" hidden="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1:47" s="403" customFormat="1" hidden="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1:47" s="403" customFormat="1" hidden="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1:47" ht="15" hidden="1" thickBot="1"/>
    <row r="36" spans="1:47" ht="15" hidden="1" thickBot="1">
      <c r="A36" s="5" t="s">
        <v>49</v>
      </c>
      <c r="B36" s="5" t="s">
        <v>50</v>
      </c>
      <c r="C36" s="6" t="s">
        <v>1581</v>
      </c>
      <c r="D36" s="6" t="s">
        <v>609</v>
      </c>
      <c r="E36" s="6" t="s">
        <v>1582</v>
      </c>
      <c r="F36" s="7"/>
      <c r="G36" s="1353" t="s">
        <v>52</v>
      </c>
      <c r="H36" s="1354"/>
      <c r="I36" s="1354"/>
      <c r="J36" s="1354"/>
      <c r="K36" s="1355"/>
      <c r="L36" s="63"/>
      <c r="M36" s="1353" t="s">
        <v>53</v>
      </c>
      <c r="N36" s="1354"/>
      <c r="O36" s="1354"/>
      <c r="P36" s="1354"/>
      <c r="Q36" s="1355"/>
      <c r="R36" s="63"/>
      <c r="S36" s="1356" t="s">
        <v>54</v>
      </c>
      <c r="T36" s="1357"/>
      <c r="U36" s="1357"/>
      <c r="V36" s="1357"/>
      <c r="W36" s="1357"/>
      <c r="X36" s="1357"/>
      <c r="Y36" s="1357"/>
      <c r="Z36" s="1357"/>
      <c r="AA36" s="1357"/>
      <c r="AB36" s="1357"/>
      <c r="AC36" s="1357"/>
      <c r="AD36" s="1357"/>
      <c r="AE36" s="1357"/>
      <c r="AF36" s="1357"/>
      <c r="AG36" s="1357"/>
      <c r="AH36" s="1357"/>
      <c r="AI36" s="1357"/>
      <c r="AJ36" s="1357"/>
      <c r="AK36" s="1357"/>
      <c r="AL36" s="1357"/>
      <c r="AM36" s="1357"/>
      <c r="AN36" s="1357"/>
      <c r="AO36" s="1357"/>
      <c r="AP36" s="1357"/>
      <c r="AQ36" s="1357"/>
      <c r="AR36" s="1357"/>
      <c r="AS36" s="1357"/>
      <c r="AT36" s="1357"/>
      <c r="AU36" s="1357"/>
    </row>
    <row r="37" spans="1:47" ht="29.25" hidden="1" thickBot="1">
      <c r="A37" s="5" t="s">
        <v>55</v>
      </c>
      <c r="B37" s="5" t="s">
        <v>56</v>
      </c>
      <c r="C37" s="6" t="s">
        <v>57</v>
      </c>
      <c r="D37" s="6" t="str">
        <f>B10</f>
        <v>BPP12</v>
      </c>
      <c r="E37" s="6" t="s">
        <v>1583</v>
      </c>
      <c r="F37" s="7"/>
      <c r="G37" s="1347" t="s">
        <v>58</v>
      </c>
      <c r="H37" s="1348"/>
      <c r="I37" s="1348"/>
      <c r="J37" s="1348"/>
      <c r="K37" s="1349"/>
      <c r="L37" s="63"/>
      <c r="M37" s="1347" t="s">
        <v>59</v>
      </c>
      <c r="N37" s="1348"/>
      <c r="O37" s="1348"/>
      <c r="P37" s="1348"/>
      <c r="Q37" s="1349"/>
      <c r="R37" s="63"/>
      <c r="S37" s="1101" t="s">
        <v>60</v>
      </c>
      <c r="T37" s="1102" t="s">
        <v>61</v>
      </c>
      <c r="U37" s="1102" t="s">
        <v>610</v>
      </c>
      <c r="V37" s="1102" t="s">
        <v>611</v>
      </c>
      <c r="W37" s="1102" t="s">
        <v>64</v>
      </c>
      <c r="X37" s="1102" t="s">
        <v>65</v>
      </c>
      <c r="Y37" s="1102" t="s">
        <v>66</v>
      </c>
      <c r="Z37" s="1102" t="s">
        <v>67</v>
      </c>
      <c r="AA37" s="1102" t="s">
        <v>68</v>
      </c>
      <c r="AB37" s="1102" t="s">
        <v>69</v>
      </c>
      <c r="AC37" s="1102" t="s">
        <v>70</v>
      </c>
      <c r="AD37" s="1102" t="s">
        <v>71</v>
      </c>
      <c r="AE37" s="1102" t="s">
        <v>612</v>
      </c>
      <c r="AF37" s="1102" t="s">
        <v>613</v>
      </c>
      <c r="AG37" s="1102" t="s">
        <v>614</v>
      </c>
      <c r="AH37" s="1102" t="s">
        <v>615</v>
      </c>
      <c r="AI37" s="1102" t="s">
        <v>616</v>
      </c>
      <c r="AJ37" s="1103" t="s">
        <v>617</v>
      </c>
      <c r="AK37" s="1102" t="s">
        <v>618</v>
      </c>
      <c r="AL37" s="1102" t="s">
        <v>619</v>
      </c>
      <c r="AM37" s="1102" t="s">
        <v>620</v>
      </c>
      <c r="AN37" s="1102" t="s">
        <v>621</v>
      </c>
      <c r="AO37" s="1104" t="s">
        <v>622</v>
      </c>
      <c r="AP37" s="1102" t="s">
        <v>623</v>
      </c>
      <c r="AQ37" s="1102" t="s">
        <v>624</v>
      </c>
      <c r="AR37" s="1105" t="s">
        <v>625</v>
      </c>
      <c r="AS37" s="1106" t="s">
        <v>626</v>
      </c>
      <c r="AT37" s="1106" t="s">
        <v>1584</v>
      </c>
      <c r="AU37" s="1106" t="s">
        <v>1585</v>
      </c>
    </row>
    <row r="38" spans="1:47" ht="29.25" hidden="1" thickBot="1">
      <c r="A38" s="1353" t="s">
        <v>90</v>
      </c>
      <c r="B38" s="1354"/>
      <c r="C38" s="1354"/>
      <c r="D38" s="1354"/>
      <c r="E38" s="1355"/>
      <c r="F38" s="7"/>
      <c r="G38" s="1107" t="s">
        <v>91</v>
      </c>
      <c r="H38" s="1108" t="s">
        <v>92</v>
      </c>
      <c r="I38" s="1108" t="s">
        <v>93</v>
      </c>
      <c r="J38" s="1108" t="s">
        <v>94</v>
      </c>
      <c r="K38" s="66" t="s">
        <v>95</v>
      </c>
      <c r="L38" s="63"/>
      <c r="M38" s="1109" t="s">
        <v>91</v>
      </c>
      <c r="N38" s="1110" t="s">
        <v>92</v>
      </c>
      <c r="O38" s="1110" t="s">
        <v>93</v>
      </c>
      <c r="P38" s="1110" t="s">
        <v>96</v>
      </c>
      <c r="Q38" s="116" t="s">
        <v>95</v>
      </c>
      <c r="R38" s="63"/>
      <c r="S38" s="117" t="s">
        <v>1581</v>
      </c>
      <c r="T38" s="118" t="s">
        <v>1586</v>
      </c>
      <c r="U38" s="118">
        <v>54000</v>
      </c>
      <c r="V38" s="119">
        <v>240</v>
      </c>
      <c r="W38" s="142">
        <v>1</v>
      </c>
      <c r="X38" s="119">
        <v>8</v>
      </c>
      <c r="Y38" s="142">
        <f>IF(OR(D75=2,D72=2),0,0)</f>
        <v>0</v>
      </c>
      <c r="Z38" s="142">
        <f>IF(OR(D76=2,D73=2),4,4)</f>
        <v>4</v>
      </c>
      <c r="AA38" s="118">
        <f>IF(OR(D72=2,D75=2),960,1936)</f>
        <v>1936</v>
      </c>
      <c r="AB38" s="118">
        <v>8</v>
      </c>
      <c r="AC38" s="118">
        <f>IF(OR(D72=2,D75=2),960,1936)</f>
        <v>1936</v>
      </c>
      <c r="AD38" s="118">
        <f>IF(OR(D73=2,D76=2),728,1464)</f>
        <v>1464</v>
      </c>
      <c r="AE38" s="159">
        <f>IF(OR(D78=2,D79=2),IF(D37="BPP8",IF(D41=8,85,95),IF(D37="BPP10",IF(D41=8,94,IF(D41=10,94,95)),IF(D41=8,152,IF(D41="RGB8",152,152)))),IF(OR(D75=2,D76=2),IF(D37="BPP8",85,IF(D37="BPP10",IF(D41=8,94,94),IF(D41=8,152,152))),IF(D37="BPP8",IF(D41=8,85,191),IF(D37="BPP10",IF(D41=8,94,IF(D41=10,127,191)),IF(D41=8,152,IF(D41="RGB8",191,152))))))</f>
        <v>152</v>
      </c>
      <c r="AF38" s="159">
        <f>IF(D37="BPP10",40,92)</f>
        <v>92</v>
      </c>
      <c r="AG38" s="158">
        <v>34</v>
      </c>
      <c r="AH38" s="158">
        <v>4997</v>
      </c>
      <c r="AI38" s="158">
        <v>44</v>
      </c>
      <c r="AJ38" s="160" t="s">
        <v>628</v>
      </c>
      <c r="AK38" s="119">
        <v>1000</v>
      </c>
      <c r="AL38" s="158">
        <f>IF(OR(D72=2,D75=2,D78=2),960,1936)</f>
        <v>1936</v>
      </c>
      <c r="AM38" s="158">
        <f>IF(OR(D73=2,D76=2,D79=2),728,1464)</f>
        <v>1464</v>
      </c>
      <c r="AN38" s="118">
        <v>408</v>
      </c>
      <c r="AO38" s="172">
        <v>156.25</v>
      </c>
      <c r="AP38" s="118">
        <f>IF(OR(D73=2,D76=2,D79=2),IF(D37="BPP10",4,16),IF(D37="BPP10",8,24))</f>
        <v>24</v>
      </c>
      <c r="AQ38" s="118" t="s">
        <v>57</v>
      </c>
      <c r="AR38" s="173">
        <v>0</v>
      </c>
      <c r="AS38" s="174">
        <v>20</v>
      </c>
      <c r="AT38" s="174">
        <v>16</v>
      </c>
      <c r="AU38" s="1111">
        <f>IF(OR(D78=2,D79=2),IF(D37="BPP8",IF(D41=8,116,130),IF(D37="BPP10",IF(D41="RGB8",130,128),IF(D41=8,208,208))),IF(OR(D75=2,D76=2),IF(D37="BPP8",116,IF(D37="BPP10",IF(D41=8,128,128),IF(D41=8,208,208))),IF(D37="BPP8",IF(D41=8,116,262),IF(D37="BPP10",IF(D41=8,128,IF(D41=10,174,262)),IF(D41=8,208,IF(D41="RGB8",262,208))))))</f>
        <v>208</v>
      </c>
    </row>
    <row r="39" spans="1:47" ht="29.25" hidden="1" thickBot="1">
      <c r="A39" s="1109" t="s">
        <v>91</v>
      </c>
      <c r="B39" s="1110" t="s">
        <v>92</v>
      </c>
      <c r="C39" s="1110" t="s">
        <v>101</v>
      </c>
      <c r="D39" s="1110" t="s">
        <v>102</v>
      </c>
      <c r="E39" s="1112" t="s">
        <v>95</v>
      </c>
      <c r="F39" s="7"/>
      <c r="G39" s="15" t="s">
        <v>103</v>
      </c>
      <c r="H39" s="16" t="s">
        <v>104</v>
      </c>
      <c r="I39" s="55" t="s">
        <v>629</v>
      </c>
      <c r="J39" s="1113">
        <f>IF(D44="Standard",ROUNDUP(1000000*P43/P40,0),ROUNDUP(1000000*P44/74250,0))</f>
        <v>2815</v>
      </c>
      <c r="K39" s="15" t="s">
        <v>106</v>
      </c>
      <c r="L39" s="63"/>
      <c r="M39" s="15" t="s">
        <v>107</v>
      </c>
      <c r="N39" s="16" t="s">
        <v>108</v>
      </c>
      <c r="O39" s="16" t="s">
        <v>109</v>
      </c>
      <c r="P39" s="1114">
        <f>VLOOKUP($C$36,$S$38:$AQ$55,4,FALSE)</f>
        <v>240</v>
      </c>
      <c r="Q39" s="121" t="s">
        <v>110</v>
      </c>
      <c r="R39" s="63"/>
      <c r="S39" s="122" t="s">
        <v>1587</v>
      </c>
      <c r="T39" s="118" t="s">
        <v>1588</v>
      </c>
      <c r="U39" s="118">
        <v>54000</v>
      </c>
      <c r="V39" s="119">
        <v>240</v>
      </c>
      <c r="W39" s="142">
        <v>1</v>
      </c>
      <c r="X39" s="119">
        <v>8</v>
      </c>
      <c r="Y39" s="143">
        <f>IF(OR(D75=2,D72=2),0,0)</f>
        <v>0</v>
      </c>
      <c r="Z39" s="143">
        <v>0</v>
      </c>
      <c r="AA39" s="72">
        <v>1600</v>
      </c>
      <c r="AB39" s="72">
        <v>8</v>
      </c>
      <c r="AC39" s="72">
        <v>1600</v>
      </c>
      <c r="AD39" s="72">
        <v>1104</v>
      </c>
      <c r="AE39" s="1115">
        <f>IF(OR(D78=2,D79=2),IF(D37="BPP8",IF(D41=8,63,79),IF(D37="BPP10",IF(D41="RGB8",79,75),IF(D37="BPP12",IF(D41=8,89,89),IF(D37="AD10_GC8",IF(D41=8,63,79))))),IF(D37="BPP8",IF(D41=8,63,158),IF(D37="BPP10",IF(D41=8,75,IF(D41=10,105,158)),IF(D37="BPP12",IF(D41=8,89,IF(D41=12,105,IF(D41="RGB8",158,89))),IF(D37="AD10_GC8",IF(D41=8,63,158))))))</f>
        <v>89</v>
      </c>
      <c r="AF39" s="159">
        <f>IF(D37="BPP10",49,200)</f>
        <v>200</v>
      </c>
      <c r="AG39" s="162">
        <f>IF(D37="BPP10",18,90)</f>
        <v>90</v>
      </c>
      <c r="AH39" s="162">
        <v>4997</v>
      </c>
      <c r="AI39" s="161">
        <v>104</v>
      </c>
      <c r="AJ39" s="160" t="s">
        <v>628</v>
      </c>
      <c r="AK39" s="163">
        <v>1000</v>
      </c>
      <c r="AL39" s="1115">
        <f>IF(D78=2,800,1600)</f>
        <v>1600</v>
      </c>
      <c r="AM39" s="1115">
        <f>IF(D79=2,552,1104)</f>
        <v>1104</v>
      </c>
      <c r="AN39" s="163">
        <v>636</v>
      </c>
      <c r="AO39" s="172">
        <v>156.25</v>
      </c>
      <c r="AP39" s="163">
        <v>8</v>
      </c>
      <c r="AQ39" s="118" t="s">
        <v>57</v>
      </c>
      <c r="AR39" s="175">
        <v>0</v>
      </c>
      <c r="AS39" s="176">
        <v>20</v>
      </c>
      <c r="AT39" s="176">
        <v>24</v>
      </c>
      <c r="AU39" s="1111">
        <f>IF(OR(D78=2,D79=2),IF(D37="BPP8",IF(D41=8,86,108),IF(D37="BPP10",IF(D41="RGB8",108,102),IF(D37="BPP12",IF(D41=8,122,122),IF(D37="AD10_GC8",IF(D41=8,86,108))))),IF(D37="BPP8",IF(D41=8,86,216),IF(D37="BPP10",IF(D41=8,102,IF(D41=10,144,216)),IF(D37="BPP12",IF(D41=8,122,IF(D41=12,144,IF(D41="RGB8",216,122))),IF(D37="AD10_GC8",IF(D41=8,86,216))))))</f>
        <v>122</v>
      </c>
    </row>
    <row r="40" spans="1:47" ht="214.5" hidden="1" thickBot="1">
      <c r="A40" s="1347" t="s">
        <v>113</v>
      </c>
      <c r="B40" s="1348"/>
      <c r="C40" s="1348"/>
      <c r="D40" s="1348"/>
      <c r="E40" s="1349"/>
      <c r="F40" s="7"/>
      <c r="G40" s="68" t="s">
        <v>114</v>
      </c>
      <c r="H40" s="30" t="s">
        <v>115</v>
      </c>
      <c r="I40" s="24" t="s">
        <v>632</v>
      </c>
      <c r="J40" s="1116">
        <f>IF(D44="Ultrashort",IF(D50=1,ROUNDUP(MAX(J43,J44,J45),0),ROUNDUP(MAX(J43,J44,J45,J46),0)),IF(D50=1,IF(D43="TriggerWidth",ROUNDUP(MAX(J43,J65,J45)*J39/1000,0),IF(D51=0,ROUNDUP(MAX(J43,J44,J45)*J39/1000,0),ROUNDUP(MAX(J43,J44,J45,J46)*J39/1000,0))),ROUNDUP(MAX(J43,J44,J45,J46)*J39/1000,0)))</f>
        <v>10092</v>
      </c>
      <c r="K40" s="68" t="s">
        <v>117</v>
      </c>
      <c r="M40" s="68" t="s">
        <v>633</v>
      </c>
      <c r="N40" s="30" t="s">
        <v>634</v>
      </c>
      <c r="O40" s="30" t="s">
        <v>635</v>
      </c>
      <c r="P40" s="1117">
        <f>VLOOKUP($C$36,$S$38:$AS$55,3,FALSE)</f>
        <v>54000</v>
      </c>
      <c r="Q40" s="121" t="s">
        <v>636</v>
      </c>
      <c r="S40" s="1118"/>
      <c r="T40" s="1118"/>
      <c r="U40" s="1118"/>
      <c r="V40" s="1118"/>
      <c r="W40" s="1118"/>
      <c r="X40" s="1118"/>
      <c r="Y40" s="1118"/>
      <c r="Z40" s="1118"/>
      <c r="AA40" s="1118"/>
      <c r="AB40" s="1118"/>
      <c r="AC40" s="1118"/>
      <c r="AD40" s="1118"/>
      <c r="AE40" s="1119"/>
      <c r="AF40" s="159"/>
      <c r="AG40" s="1120"/>
      <c r="AH40" s="1121"/>
      <c r="AI40" s="1122"/>
      <c r="AJ40" s="1118"/>
      <c r="AK40" s="1118"/>
      <c r="AL40" s="1118"/>
      <c r="AM40" s="1118"/>
      <c r="AN40" s="1118"/>
      <c r="AO40" s="1123"/>
      <c r="AP40" s="1118"/>
      <c r="AQ40" s="118"/>
      <c r="AR40" s="1124"/>
      <c r="AS40" s="32"/>
      <c r="AT40" s="32"/>
    </row>
    <row r="41" spans="1:47" ht="29.25" hidden="1" thickBot="1">
      <c r="A41" s="11" t="s">
        <v>121</v>
      </c>
      <c r="B41" s="12" t="s">
        <v>113</v>
      </c>
      <c r="C41" s="12">
        <v>8</v>
      </c>
      <c r="D41" s="1125">
        <f>B9</f>
        <v>8</v>
      </c>
      <c r="E41" s="14" t="s">
        <v>122</v>
      </c>
      <c r="F41" s="7"/>
      <c r="G41" s="20" t="s">
        <v>123</v>
      </c>
      <c r="H41" s="21" t="s">
        <v>58</v>
      </c>
      <c r="I41" s="28" t="s">
        <v>124</v>
      </c>
      <c r="J41" s="1126">
        <f>1000000/J40</f>
        <v>99.088386841062231</v>
      </c>
      <c r="K41" s="20" t="s">
        <v>125</v>
      </c>
      <c r="M41" s="68" t="s">
        <v>639</v>
      </c>
      <c r="N41" s="30" t="s">
        <v>640</v>
      </c>
      <c r="O41" s="30" t="s">
        <v>109</v>
      </c>
      <c r="P41" s="1117">
        <f>VLOOKUP($C$36,$S$38:$AS$55,7,FALSE)</f>
        <v>0</v>
      </c>
      <c r="Q41" s="125" t="s">
        <v>119</v>
      </c>
      <c r="S41" s="1118"/>
      <c r="T41" s="1118"/>
      <c r="U41" s="1118"/>
      <c r="V41" s="1118"/>
      <c r="W41" s="1118"/>
      <c r="X41" s="1118"/>
      <c r="Y41" s="1118"/>
      <c r="Z41" s="1118"/>
      <c r="AA41" s="1118"/>
      <c r="AB41" s="1118"/>
      <c r="AC41" s="1118"/>
      <c r="AD41" s="1118"/>
      <c r="AE41" s="1119"/>
      <c r="AF41" s="159"/>
      <c r="AG41" s="1120"/>
      <c r="AH41" s="1121"/>
      <c r="AI41" s="1122"/>
      <c r="AJ41" s="1118"/>
      <c r="AK41" s="1118"/>
      <c r="AL41" s="1118"/>
      <c r="AM41" s="1118"/>
      <c r="AN41" s="1118"/>
      <c r="AO41" s="1123"/>
      <c r="AP41" s="1118"/>
      <c r="AQ41" s="118"/>
      <c r="AR41" s="1124"/>
      <c r="AS41" s="32"/>
      <c r="AT41" s="32"/>
    </row>
    <row r="42" spans="1:47" ht="29.25" hidden="1" thickBot="1">
      <c r="A42" s="1347" t="s">
        <v>128</v>
      </c>
      <c r="B42" s="1348"/>
      <c r="C42" s="1348"/>
      <c r="D42" s="1348"/>
      <c r="E42" s="1349"/>
      <c r="F42" s="7"/>
      <c r="G42" s="1347" t="s">
        <v>129</v>
      </c>
      <c r="H42" s="1348"/>
      <c r="I42" s="1348"/>
      <c r="J42" s="1348"/>
      <c r="K42" s="1349"/>
      <c r="M42" s="68" t="s">
        <v>641</v>
      </c>
      <c r="N42" s="30" t="s">
        <v>640</v>
      </c>
      <c r="O42" s="30" t="s">
        <v>109</v>
      </c>
      <c r="P42" s="1117">
        <f>VLOOKUP($C$36,$S$38:$AS$55,8,FALSE)</f>
        <v>4</v>
      </c>
      <c r="Q42" s="125" t="s">
        <v>119</v>
      </c>
      <c r="S42" s="128"/>
      <c r="T42" s="128"/>
      <c r="U42" s="128"/>
      <c r="V42" s="128"/>
      <c r="W42" s="128"/>
      <c r="X42" s="128"/>
      <c r="Y42" s="128"/>
      <c r="Z42" s="128"/>
    </row>
    <row r="43" spans="1:47" ht="72" hidden="1" thickBot="1">
      <c r="A43" s="15" t="s">
        <v>132</v>
      </c>
      <c r="B43" s="16" t="s">
        <v>133</v>
      </c>
      <c r="C43" s="16" t="s">
        <v>134</v>
      </c>
      <c r="D43" s="17" t="s">
        <v>134</v>
      </c>
      <c r="E43" s="18"/>
      <c r="F43" s="7"/>
      <c r="G43" s="15" t="s">
        <v>135</v>
      </c>
      <c r="H43" s="16" t="s">
        <v>136</v>
      </c>
      <c r="I43" s="55" t="s">
        <v>642</v>
      </c>
      <c r="J43" s="1113">
        <f>IF(D44="Ultrashort",ROUNDUP((D58*D79+P45)*J39/1000,0)+10,D58*D79+P45)</f>
        <v>1556</v>
      </c>
      <c r="K43" s="71" t="str">
        <f>IF(D44="Ultrashort","us","line")</f>
        <v>line</v>
      </c>
      <c r="M43" s="68" t="s">
        <v>643</v>
      </c>
      <c r="N43" s="30" t="s">
        <v>644</v>
      </c>
      <c r="O43" s="30" t="s">
        <v>109</v>
      </c>
      <c r="P43" s="1117">
        <f>VLOOKUP($C$36,$S$38:$AS$55,13,FALSE)</f>
        <v>152</v>
      </c>
      <c r="Q43" s="125" t="s">
        <v>154</v>
      </c>
      <c r="S43" s="128"/>
      <c r="T43" s="128"/>
      <c r="U43" s="128"/>
      <c r="V43" s="128"/>
      <c r="W43" s="128"/>
      <c r="X43" s="128"/>
      <c r="Y43" s="128"/>
      <c r="Z43" s="128"/>
    </row>
    <row r="44" spans="1:47" ht="43.5" hidden="1" thickBot="1">
      <c r="A44" s="15" t="s">
        <v>479</v>
      </c>
      <c r="B44" s="16" t="s">
        <v>480</v>
      </c>
      <c r="C44" s="16" t="s">
        <v>481</v>
      </c>
      <c r="D44" s="17" t="s">
        <v>481</v>
      </c>
      <c r="E44" s="18"/>
      <c r="F44" s="7"/>
      <c r="G44" s="68" t="s">
        <v>142</v>
      </c>
      <c r="H44" s="30" t="s">
        <v>143</v>
      </c>
      <c r="I44" s="72" t="s">
        <v>645</v>
      </c>
      <c r="J44" s="1127">
        <f>IF(D44="Ultrashort",J69,J71+IF(D62=0,0,ROUNDUP(P50*1000/J39,0)))</f>
        <v>3585</v>
      </c>
      <c r="K44" s="71" t="str">
        <f>IF(D44="Ultrashort","us","line")</f>
        <v>line</v>
      </c>
      <c r="M44" s="68" t="s">
        <v>1589</v>
      </c>
      <c r="N44" s="30" t="s">
        <v>1590</v>
      </c>
      <c r="O44" s="30" t="s">
        <v>109</v>
      </c>
      <c r="P44" s="1117">
        <f>VLOOKUP($C$36,$S$38:$AU$55,29,FALSE)</f>
        <v>208</v>
      </c>
      <c r="Q44" s="125" t="s">
        <v>154</v>
      </c>
      <c r="S44" s="128"/>
      <c r="T44" s="128"/>
      <c r="U44" s="128"/>
      <c r="V44" s="128"/>
      <c r="W44" s="128"/>
      <c r="X44" s="128"/>
      <c r="Y44" s="128"/>
      <c r="Z44" s="128"/>
    </row>
    <row r="45" spans="1:47" ht="57.75" hidden="1" thickBot="1">
      <c r="A45" s="15" t="s">
        <v>141</v>
      </c>
      <c r="B45" s="16" t="s">
        <v>128</v>
      </c>
      <c r="C45" s="16">
        <f>VLOOKUP($C$36,$S$38:$AQ$55,19,FALSE)</f>
        <v>1000</v>
      </c>
      <c r="D45" s="1128">
        <f>B8</f>
        <v>10000</v>
      </c>
      <c r="E45" s="18" t="s">
        <v>117</v>
      </c>
      <c r="F45" s="7" t="str">
        <f>IF(D45&gt;P48,"0x"&amp;DEC2HEX(MAX(J43,J44,J45,J46)),"0x"&amp;DEC2HEX(MAX(J43,J44+1,J45,J46)))</f>
        <v>0xE01</v>
      </c>
      <c r="G45" s="68" t="s">
        <v>149</v>
      </c>
      <c r="H45" s="30" t="s">
        <v>150</v>
      </c>
      <c r="I45" s="72" t="s">
        <v>648</v>
      </c>
      <c r="J45" s="1127">
        <f>IF(D44="Ultrashort",ROUNDUP(((1000000/D70))*D69,0),ROUNDUP(((1000000000/D70)/J39)*D69,0))</f>
        <v>0</v>
      </c>
      <c r="K45" s="71" t="str">
        <f>IF(D44="Ultrashort","us","line")</f>
        <v>line</v>
      </c>
      <c r="M45" s="68" t="s">
        <v>646</v>
      </c>
      <c r="N45" s="30" t="s">
        <v>647</v>
      </c>
      <c r="O45" s="30" t="s">
        <v>109</v>
      </c>
      <c r="P45" s="1117">
        <f>VLOOKUP($C$36,$S$38:$AS$55,14,FALSE)</f>
        <v>92</v>
      </c>
      <c r="Q45" s="125" t="s">
        <v>140</v>
      </c>
      <c r="S45" s="128"/>
      <c r="T45" s="128"/>
      <c r="U45" s="128"/>
      <c r="V45" s="128"/>
      <c r="W45" s="128"/>
      <c r="X45" s="128"/>
      <c r="Y45" s="145"/>
      <c r="Z45" s="128"/>
    </row>
    <row r="46" spans="1:47" ht="57.75" hidden="1" thickBot="1">
      <c r="A46" s="20" t="s">
        <v>147</v>
      </c>
      <c r="B46" s="21" t="s">
        <v>148</v>
      </c>
      <c r="C46" s="16">
        <v>0</v>
      </c>
      <c r="D46" s="1129">
        <f>B19</f>
        <v>0</v>
      </c>
      <c r="E46" s="23" t="s">
        <v>117</v>
      </c>
      <c r="F46" s="7"/>
      <c r="G46" s="20" t="s">
        <v>156</v>
      </c>
      <c r="H46" s="28" t="s">
        <v>157</v>
      </c>
      <c r="I46" s="28" t="s">
        <v>158</v>
      </c>
      <c r="J46" s="1130">
        <f>IF(D44="Ultrashort",P83,ROUNDUP(P83*1000/J39,0))</f>
        <v>871</v>
      </c>
      <c r="K46" s="71" t="str">
        <f>IF(D44="Ultrashort","us","line")</f>
        <v>line</v>
      </c>
      <c r="M46" s="68" t="s">
        <v>491</v>
      </c>
      <c r="N46" s="30" t="s">
        <v>649</v>
      </c>
      <c r="O46" s="30" t="s">
        <v>109</v>
      </c>
      <c r="P46" s="1117">
        <f>VLOOKUP($C$36,$S$38:$AS$55,15,FALSE)</f>
        <v>34</v>
      </c>
      <c r="Q46" s="125" t="s">
        <v>140</v>
      </c>
      <c r="S46" s="128"/>
      <c r="T46" s="128"/>
      <c r="U46" s="128"/>
      <c r="V46" s="128"/>
      <c r="W46" s="128"/>
      <c r="X46" s="128"/>
      <c r="Y46" s="145"/>
      <c r="Z46" s="128"/>
    </row>
    <row r="47" spans="1:47" ht="57.75" hidden="1" thickBot="1">
      <c r="A47" s="24" t="s">
        <v>155</v>
      </c>
      <c r="B47" s="25" t="str">
        <f>"交叠曝光时间 
范围:0"&amp;"-"&amp;ROUNDUP(((J43-P46)*J39/1000),0)</f>
        <v>交叠曝光时间 
范围:0-4285</v>
      </c>
      <c r="C47" s="16">
        <f>ROUNDUP((J43-P46)*J39/1000,0)</f>
        <v>4285</v>
      </c>
      <c r="D47" s="1131">
        <v>500</v>
      </c>
      <c r="E47" s="23" t="s">
        <v>117</v>
      </c>
      <c r="F47" s="7"/>
      <c r="G47" s="1347" t="s">
        <v>164</v>
      </c>
      <c r="H47" s="1348"/>
      <c r="I47" s="1348"/>
      <c r="J47" s="1348"/>
      <c r="K47" s="1349"/>
      <c r="M47" s="68" t="s">
        <v>650</v>
      </c>
      <c r="N47" s="30" t="s">
        <v>651</v>
      </c>
      <c r="O47" s="30" t="s">
        <v>109</v>
      </c>
      <c r="P47" s="1117">
        <f>VLOOKUP($C$36,$S$38:$AS$55,16,FALSE)</f>
        <v>4997</v>
      </c>
      <c r="Q47" s="919" t="s">
        <v>106</v>
      </c>
      <c r="S47" s="128"/>
      <c r="T47" s="129"/>
      <c r="U47" s="128"/>
      <c r="V47" s="128"/>
      <c r="W47" s="128"/>
      <c r="X47" s="128"/>
      <c r="Y47" s="145"/>
      <c r="Z47" s="128"/>
    </row>
    <row r="48" spans="1:47" ht="72" hidden="1" thickBot="1">
      <c r="A48" s="26" t="s">
        <v>161</v>
      </c>
      <c r="B48" s="27" t="s">
        <v>162</v>
      </c>
      <c r="C48" s="28" t="s">
        <v>163</v>
      </c>
      <c r="D48" s="29">
        <v>0</v>
      </c>
      <c r="E48" s="23" t="s">
        <v>117</v>
      </c>
      <c r="F48" s="7"/>
      <c r="G48" s="75" t="s">
        <v>654</v>
      </c>
      <c r="H48" s="76" t="s">
        <v>655</v>
      </c>
      <c r="I48" s="76" t="s">
        <v>656</v>
      </c>
      <c r="J48" s="1113">
        <f>IF(D44="Ultrashort",IF(D45&gt;P47/1000,ROUNDUP((D45*1000-P47)/1000,0),1),MAX(ROUNDUP((D45*1000-P47)/J39,0),1))</f>
        <v>3551</v>
      </c>
      <c r="K48" s="71" t="str">
        <f>IF(D44="Ultrashort","us","line")</f>
        <v>line</v>
      </c>
      <c r="M48" s="68" t="s">
        <v>652</v>
      </c>
      <c r="N48" s="30" t="s">
        <v>653</v>
      </c>
      <c r="O48" s="21" t="s">
        <v>109</v>
      </c>
      <c r="P48" s="1117">
        <f>VLOOKUP($C$36,$S$38:$AS$55,27,FALSE)</f>
        <v>20</v>
      </c>
      <c r="Q48" s="125" t="s">
        <v>117</v>
      </c>
      <c r="S48" s="128"/>
      <c r="T48" s="128"/>
      <c r="U48" s="128"/>
      <c r="V48" s="128"/>
      <c r="W48" s="128"/>
      <c r="X48" s="128"/>
      <c r="Y48" s="145"/>
      <c r="Z48" s="128"/>
    </row>
    <row r="49" spans="1:26" ht="68.25" hidden="1" thickBot="1">
      <c r="A49" s="1350" t="s">
        <v>167</v>
      </c>
      <c r="B49" s="1351"/>
      <c r="C49" s="1351"/>
      <c r="D49" s="1351"/>
      <c r="E49" s="1352"/>
      <c r="F49" s="7"/>
      <c r="G49" s="75" t="s">
        <v>658</v>
      </c>
      <c r="H49" s="76" t="s">
        <v>659</v>
      </c>
      <c r="I49" s="76" t="s">
        <v>660</v>
      </c>
      <c r="J49" s="1116">
        <f>IF(AND(D45&gt;P47/1000,D45&lt;=P48),ROUNDUP((1000*D45-P47)/1000,0),0)</f>
        <v>0</v>
      </c>
      <c r="K49" s="77" t="str">
        <f>IF(OR(D44="Ultrashort",AND(D44="Standard",D45&lt;=P48)),"us","line")</f>
        <v>line</v>
      </c>
      <c r="M49" s="68" t="s">
        <v>657</v>
      </c>
      <c r="N49" s="30" t="s">
        <v>1591</v>
      </c>
      <c r="O49" s="21" t="s">
        <v>109</v>
      </c>
      <c r="P49" s="1117">
        <f>VLOOKUP($C$36,$S$38:$AS$55,17,FALSE)</f>
        <v>44</v>
      </c>
      <c r="Q49" s="125"/>
      <c r="S49" s="128"/>
      <c r="T49" s="128"/>
      <c r="U49" s="128"/>
      <c r="V49" s="128"/>
      <c r="W49" s="128"/>
      <c r="X49" s="128"/>
      <c r="Y49" s="145"/>
      <c r="Z49" s="128"/>
    </row>
    <row r="50" spans="1:26" ht="40.5" hidden="1">
      <c r="A50" s="30" t="s">
        <v>172</v>
      </c>
      <c r="B50" s="30" t="s">
        <v>167</v>
      </c>
      <c r="C50" s="30">
        <v>0</v>
      </c>
      <c r="D50" s="31">
        <f>B20</f>
        <v>0</v>
      </c>
      <c r="E50" s="32"/>
      <c r="F50" s="7"/>
      <c r="G50" s="78" t="s">
        <v>173</v>
      </c>
      <c r="H50" s="79" t="s">
        <v>661</v>
      </c>
      <c r="I50" s="79" t="s">
        <v>662</v>
      </c>
      <c r="J50" s="1116">
        <f>IF(D44="Ultrashort",D46,ROUNDUP((D46*1000)/J39,0))</f>
        <v>0</v>
      </c>
      <c r="K50" s="71" t="str">
        <f>IF(D44="Ultrashort","us","line")</f>
        <v>line</v>
      </c>
      <c r="M50" s="68" t="s">
        <v>176</v>
      </c>
      <c r="N50" s="30" t="s">
        <v>177</v>
      </c>
      <c r="O50" s="30" t="s">
        <v>109</v>
      </c>
      <c r="P50" s="1132">
        <f>VLOOKUP($C$36,$S$38:$AS$55,26,FALSE)</f>
        <v>0</v>
      </c>
      <c r="Q50" s="125" t="s">
        <v>117</v>
      </c>
      <c r="S50" s="128"/>
      <c r="T50" s="128"/>
      <c r="U50" s="128"/>
      <c r="V50" s="128"/>
      <c r="W50" s="128"/>
      <c r="X50" s="128"/>
      <c r="Y50" s="145"/>
      <c r="Z50" s="128"/>
    </row>
    <row r="51" spans="1:26" ht="95.25" hidden="1" thickBot="1">
      <c r="A51" s="11" t="s">
        <v>178</v>
      </c>
      <c r="B51" s="12" t="s">
        <v>179</v>
      </c>
      <c r="C51" s="12">
        <v>0</v>
      </c>
      <c r="D51" s="33">
        <v>0</v>
      </c>
      <c r="E51" s="14"/>
      <c r="F51" s="7"/>
      <c r="G51" s="78" t="s">
        <v>500</v>
      </c>
      <c r="H51" s="79" t="s">
        <v>663</v>
      </c>
      <c r="I51" s="79" t="s">
        <v>664</v>
      </c>
      <c r="J51" s="1133">
        <f>IF(D44="Ultrashort",200,IF((D45+4*J39/1000)&gt;100,(D45+4*J39/1000),100))</f>
        <v>10011.26</v>
      </c>
      <c r="K51" s="83" t="s">
        <v>117</v>
      </c>
      <c r="M51" s="11" t="s">
        <v>1592</v>
      </c>
      <c r="N51" s="12" t="s">
        <v>1593</v>
      </c>
      <c r="O51" s="30" t="s">
        <v>109</v>
      </c>
      <c r="P51" s="1134">
        <f>VLOOKUP($C$36,$S$38:$AT$55,28,FALSE)</f>
        <v>16</v>
      </c>
      <c r="Q51" s="121" t="s">
        <v>140</v>
      </c>
      <c r="S51" s="128"/>
      <c r="T51" s="128"/>
      <c r="U51" s="128"/>
      <c r="V51" s="128"/>
      <c r="W51" s="128"/>
      <c r="X51" s="128"/>
      <c r="Y51" s="145"/>
      <c r="Z51" s="128"/>
    </row>
    <row r="52" spans="1:26" ht="108.75" hidden="1" thickBot="1">
      <c r="A52" s="1343" t="s">
        <v>185</v>
      </c>
      <c r="B52" s="1344"/>
      <c r="C52" s="1344"/>
      <c r="D52" s="1344"/>
      <c r="E52" s="1345"/>
      <c r="F52" s="7"/>
      <c r="G52" s="78" t="s">
        <v>506</v>
      </c>
      <c r="H52" s="79" t="s">
        <v>665</v>
      </c>
      <c r="I52" s="79" t="s">
        <v>666</v>
      </c>
      <c r="J52" s="1133">
        <f>IF(D44="Ultrashort",ROUNDUP((D58*D79+11+P49)*J39/1000,0),D58*D79+11+P49)</f>
        <v>1519</v>
      </c>
      <c r="K52" s="71" t="str">
        <f>IF(D44="Ultrashort","us","line")</f>
        <v>line</v>
      </c>
      <c r="M52" s="80" t="s">
        <v>183</v>
      </c>
      <c r="N52" s="81" t="s">
        <v>184</v>
      </c>
      <c r="O52" s="81" t="s">
        <v>109</v>
      </c>
      <c r="P52" s="1117">
        <f>VLOOKUP($C$36,$S$38:$AS$55,24,FALSE)</f>
        <v>24</v>
      </c>
      <c r="Q52" s="121" t="s">
        <v>140</v>
      </c>
      <c r="S52" s="128"/>
      <c r="T52" s="128"/>
      <c r="U52" s="128"/>
      <c r="V52" s="128"/>
      <c r="W52" s="128"/>
      <c r="X52" s="128"/>
      <c r="Y52" s="146"/>
      <c r="Z52" s="146"/>
    </row>
    <row r="53" spans="1:26" ht="15" hidden="1" thickBot="1">
      <c r="A53" s="11" t="s">
        <v>190</v>
      </c>
      <c r="B53" s="12" t="s">
        <v>191</v>
      </c>
      <c r="C53" s="12">
        <v>0</v>
      </c>
      <c r="D53" s="1125">
        <v>0</v>
      </c>
      <c r="E53" s="14" t="s">
        <v>117</v>
      </c>
      <c r="F53" s="7"/>
      <c r="G53" s="1343" t="s">
        <v>192</v>
      </c>
      <c r="H53" s="1344"/>
      <c r="I53" s="1344"/>
      <c r="J53" s="1344"/>
      <c r="K53" s="1345"/>
      <c r="M53" s="1343" t="s">
        <v>189</v>
      </c>
      <c r="N53" s="1344"/>
      <c r="O53" s="1344"/>
      <c r="P53" s="1344"/>
      <c r="Q53" s="1345"/>
      <c r="S53" s="128"/>
      <c r="T53" s="128"/>
      <c r="U53" s="128"/>
      <c r="V53" s="128"/>
      <c r="W53" s="128"/>
      <c r="X53" s="128"/>
      <c r="Y53" s="146"/>
      <c r="Z53" s="146"/>
    </row>
    <row r="54" spans="1:26" ht="29.25" hidden="1" thickBot="1">
      <c r="A54" s="1343" t="s">
        <v>193</v>
      </c>
      <c r="B54" s="1344"/>
      <c r="C54" s="1344"/>
      <c r="D54" s="1344"/>
      <c r="E54" s="1135"/>
      <c r="F54" s="7"/>
      <c r="G54" s="54" t="s">
        <v>194</v>
      </c>
      <c r="H54" s="55" t="s">
        <v>195</v>
      </c>
      <c r="I54" s="55" t="s">
        <v>196</v>
      </c>
      <c r="J54" s="1136">
        <f>J41*P72</f>
        <v>280846611.17717004</v>
      </c>
      <c r="K54" s="85" t="s">
        <v>197</v>
      </c>
      <c r="M54" s="1109" t="s">
        <v>91</v>
      </c>
      <c r="N54" s="1110" t="s">
        <v>92</v>
      </c>
      <c r="O54" s="1110" t="s">
        <v>93</v>
      </c>
      <c r="P54" s="1110" t="s">
        <v>96</v>
      </c>
      <c r="Q54" s="116" t="s">
        <v>95</v>
      </c>
      <c r="S54" s="128"/>
      <c r="T54" s="128"/>
      <c r="U54" s="128"/>
      <c r="V54" s="128"/>
      <c r="W54" s="128"/>
      <c r="X54" s="128"/>
      <c r="Y54" s="146"/>
      <c r="Z54" s="146"/>
    </row>
    <row r="55" spans="1:26" ht="28.5" hidden="1">
      <c r="A55" s="15" t="s">
        <v>203</v>
      </c>
      <c r="B55" s="16" t="s">
        <v>202</v>
      </c>
      <c r="C55" s="16">
        <v>0</v>
      </c>
      <c r="D55" s="1128">
        <v>0</v>
      </c>
      <c r="E55" s="38" t="s">
        <v>119</v>
      </c>
      <c r="F55" s="7"/>
      <c r="G55" s="86" t="s">
        <v>204</v>
      </c>
      <c r="H55" s="87" t="s">
        <v>205</v>
      </c>
      <c r="I55" s="24" t="s">
        <v>206</v>
      </c>
      <c r="J55" s="1116">
        <f>J41*P79</f>
        <v>292740388.42647642</v>
      </c>
      <c r="K55" s="88" t="s">
        <v>197</v>
      </c>
      <c r="M55" s="15" t="s">
        <v>198</v>
      </c>
      <c r="N55" s="16" t="s">
        <v>199</v>
      </c>
      <c r="O55" s="16" t="s">
        <v>200</v>
      </c>
      <c r="P55" s="1114">
        <v>7</v>
      </c>
      <c r="Q55" s="121" t="s">
        <v>201</v>
      </c>
    </row>
    <row r="56" spans="1:26" ht="29.25" hidden="1" thickBot="1">
      <c r="A56" s="39" t="s">
        <v>211</v>
      </c>
      <c r="B56" s="24" t="s">
        <v>210</v>
      </c>
      <c r="C56" s="24">
        <v>0</v>
      </c>
      <c r="D56" s="1137">
        <v>0</v>
      </c>
      <c r="E56" s="41" t="s">
        <v>119</v>
      </c>
      <c r="F56" s="7"/>
      <c r="G56" s="89" t="s">
        <v>212</v>
      </c>
      <c r="H56" s="90" t="s">
        <v>213</v>
      </c>
      <c r="I56" s="28" t="s">
        <v>214</v>
      </c>
      <c r="J56" s="1133">
        <f>1250*D64*(100-D67)</f>
        <v>1225000000</v>
      </c>
      <c r="K56" s="91" t="s">
        <v>197</v>
      </c>
      <c r="M56" s="68" t="s">
        <v>207</v>
      </c>
      <c r="N56" s="30" t="s">
        <v>208</v>
      </c>
      <c r="O56" s="30" t="s">
        <v>209</v>
      </c>
      <c r="P56" s="1132">
        <v>1</v>
      </c>
      <c r="Q56" s="125" t="s">
        <v>201</v>
      </c>
      <c r="R56" s="63"/>
    </row>
    <row r="57" spans="1:26" ht="15" hidden="1" thickBot="1">
      <c r="A57" s="39" t="s">
        <v>19</v>
      </c>
      <c r="B57" s="24" t="s">
        <v>218</v>
      </c>
      <c r="C57" s="24">
        <f>VLOOKUP($C$36,$S$38:$AQ$55,20,FALSE)</f>
        <v>1936</v>
      </c>
      <c r="D57" s="1137">
        <f>B4</f>
        <v>1936</v>
      </c>
      <c r="E57" s="41" t="s">
        <v>119</v>
      </c>
      <c r="F57" s="7"/>
      <c r="G57" s="1138" t="s">
        <v>219</v>
      </c>
      <c r="H57" s="1139"/>
      <c r="I57" s="1139"/>
      <c r="J57" s="1139"/>
      <c r="K57" s="1135"/>
      <c r="M57" s="68" t="s">
        <v>215</v>
      </c>
      <c r="N57" s="30" t="s">
        <v>216</v>
      </c>
      <c r="O57" s="30" t="s">
        <v>217</v>
      </c>
      <c r="P57" s="1132">
        <v>14</v>
      </c>
      <c r="Q57" s="125" t="s">
        <v>201</v>
      </c>
      <c r="R57" s="63"/>
    </row>
    <row r="58" spans="1:26" ht="157.5" hidden="1" thickBot="1">
      <c r="A58" s="42" t="s">
        <v>20</v>
      </c>
      <c r="B58" s="28" t="s">
        <v>223</v>
      </c>
      <c r="C58" s="28">
        <f>VLOOKUP($C$36,$S$38:$AQ$55,21,FALSE)</f>
        <v>1464</v>
      </c>
      <c r="D58" s="1140">
        <f>B5</f>
        <v>1464</v>
      </c>
      <c r="E58" s="23" t="s">
        <v>119</v>
      </c>
      <c r="F58" s="7"/>
      <c r="G58" s="92" t="s">
        <v>224</v>
      </c>
      <c r="H58" s="93" t="s">
        <v>225</v>
      </c>
      <c r="I58" s="55" t="s">
        <v>226</v>
      </c>
      <c r="J58" s="1113">
        <f>IF(D64=10000,0,IF(D64=5000,1,IF(D64=2500,2,IF(D64=1000,3,3))))</f>
        <v>0</v>
      </c>
      <c r="K58" s="85" t="s">
        <v>163</v>
      </c>
      <c r="M58" s="68" t="s">
        <v>220</v>
      </c>
      <c r="N58" s="30" t="s">
        <v>221</v>
      </c>
      <c r="O58" s="30" t="s">
        <v>222</v>
      </c>
      <c r="P58" s="1132">
        <v>20</v>
      </c>
      <c r="Q58" s="125" t="s">
        <v>201</v>
      </c>
      <c r="R58" s="63"/>
    </row>
    <row r="59" spans="1:26" ht="43.5" hidden="1" thickBot="1">
      <c r="A59" s="1343" t="s">
        <v>230</v>
      </c>
      <c r="B59" s="1344"/>
      <c r="C59" s="1344"/>
      <c r="D59" s="1344"/>
      <c r="E59" s="1345"/>
      <c r="F59" s="7"/>
      <c r="G59" s="94" t="s">
        <v>231</v>
      </c>
      <c r="H59" s="95" t="s">
        <v>232</v>
      </c>
      <c r="I59" s="26" t="s">
        <v>233</v>
      </c>
      <c r="J59" s="1141">
        <f>ROUNDUP(D66*VLOOKUP($C$36,$S$38:$AQ$55,23,FALSE)/1000,0)</f>
        <v>0</v>
      </c>
      <c r="K59" s="97" t="s">
        <v>154</v>
      </c>
      <c r="M59" s="68" t="s">
        <v>227</v>
      </c>
      <c r="N59" s="30" t="s">
        <v>228</v>
      </c>
      <c r="O59" s="30" t="s">
        <v>229</v>
      </c>
      <c r="P59" s="1132">
        <v>8</v>
      </c>
      <c r="Q59" s="125" t="s">
        <v>201</v>
      </c>
    </row>
    <row r="60" spans="1:26" ht="15" hidden="1" thickBot="1">
      <c r="A60" s="44" t="s">
        <v>237</v>
      </c>
      <c r="B60" s="45" t="s">
        <v>236</v>
      </c>
      <c r="C60" s="46">
        <v>0</v>
      </c>
      <c r="D60" s="1142">
        <v>0</v>
      </c>
      <c r="E60" s="48" t="s">
        <v>122</v>
      </c>
      <c r="F60" s="7"/>
      <c r="G60" s="1138" t="s">
        <v>238</v>
      </c>
      <c r="H60" s="1139"/>
      <c r="I60" s="1139"/>
      <c r="J60" s="1139"/>
      <c r="K60" s="1135"/>
      <c r="M60" s="68" t="s">
        <v>234</v>
      </c>
      <c r="N60" s="30" t="s">
        <v>235</v>
      </c>
      <c r="O60" s="30" t="s">
        <v>229</v>
      </c>
      <c r="P60" s="1132">
        <v>8</v>
      </c>
      <c r="Q60" s="125" t="s">
        <v>201</v>
      </c>
    </row>
    <row r="61" spans="1:26" ht="43.5" hidden="1" thickBot="1">
      <c r="A61" s="1343" t="s">
        <v>242</v>
      </c>
      <c r="B61" s="1344"/>
      <c r="C61" s="1344"/>
      <c r="D61" s="1344"/>
      <c r="E61" s="1345"/>
      <c r="G61" s="98" t="s">
        <v>243</v>
      </c>
      <c r="H61" s="99" t="s">
        <v>244</v>
      </c>
      <c r="I61" s="100" t="s">
        <v>245</v>
      </c>
      <c r="J61" s="1143">
        <f>IF(ROUNDUP(P86*1000*8/D64,0)&gt;200000000,200000000,ROUNDUP(P86*1000*8/D64,0))</f>
        <v>5055540</v>
      </c>
      <c r="K61" s="102" t="s">
        <v>106</v>
      </c>
      <c r="M61" s="68" t="s">
        <v>239</v>
      </c>
      <c r="N61" s="30" t="s">
        <v>240</v>
      </c>
      <c r="O61" s="30" t="s">
        <v>241</v>
      </c>
      <c r="P61" s="1132">
        <v>4</v>
      </c>
      <c r="Q61" s="125" t="s">
        <v>201</v>
      </c>
      <c r="S61" s="1343" t="s">
        <v>255</v>
      </c>
      <c r="T61" s="1344"/>
      <c r="U61" s="1344"/>
      <c r="V61" s="1344"/>
      <c r="W61" s="1344"/>
      <c r="X61" s="1291"/>
    </row>
    <row r="62" spans="1:26" ht="29.25" hidden="1" thickBot="1">
      <c r="A62" s="49" t="s">
        <v>250</v>
      </c>
      <c r="B62" s="50" t="s">
        <v>249</v>
      </c>
      <c r="C62" s="51">
        <v>0</v>
      </c>
      <c r="D62" s="1144">
        <v>0</v>
      </c>
      <c r="E62" s="53" t="s">
        <v>122</v>
      </c>
      <c r="G62" s="1138" t="s">
        <v>251</v>
      </c>
      <c r="H62" s="1139"/>
      <c r="I62" s="1139"/>
      <c r="J62" s="1139"/>
      <c r="K62" s="1135"/>
      <c r="M62" s="68" t="s">
        <v>246</v>
      </c>
      <c r="N62" s="30" t="s">
        <v>247</v>
      </c>
      <c r="O62" s="30" t="s">
        <v>248</v>
      </c>
      <c r="P62" s="1132">
        <v>12</v>
      </c>
      <c r="Q62" s="125" t="s">
        <v>201</v>
      </c>
      <c r="S62" s="1109" t="s">
        <v>263</v>
      </c>
      <c r="T62" s="1110" t="s">
        <v>264</v>
      </c>
      <c r="U62" s="1110" t="s">
        <v>92</v>
      </c>
      <c r="V62" s="1110" t="s">
        <v>93</v>
      </c>
      <c r="W62" s="1145" t="s">
        <v>265</v>
      </c>
      <c r="X62" s="1112" t="s">
        <v>266</v>
      </c>
    </row>
    <row r="63" spans="1:26" ht="43.5" hidden="1" thickBot="1">
      <c r="A63" s="1343" t="s">
        <v>256</v>
      </c>
      <c r="B63" s="1344"/>
      <c r="C63" s="1344"/>
      <c r="D63" s="1344"/>
      <c r="E63" s="1345"/>
      <c r="G63" s="98" t="s">
        <v>257</v>
      </c>
      <c r="H63" s="99" t="s">
        <v>251</v>
      </c>
      <c r="I63" s="100" t="s">
        <v>258</v>
      </c>
      <c r="J63" s="1143">
        <f>IF((100-ROUNDDOWN(10*P81/(125000*D64),0)-1)&lt;0,0,(100-ROUNDDOWN(10*P81/(125000*D64),0)-1))</f>
        <v>99</v>
      </c>
      <c r="K63" s="102" t="s">
        <v>259</v>
      </c>
      <c r="M63" s="68" t="s">
        <v>252</v>
      </c>
      <c r="N63" s="24" t="s">
        <v>253</v>
      </c>
      <c r="O63" s="30" t="s">
        <v>254</v>
      </c>
      <c r="P63" s="1132">
        <f>P58+P59+P60</f>
        <v>36</v>
      </c>
      <c r="Q63" s="125" t="s">
        <v>201</v>
      </c>
      <c r="S63" s="132" t="s">
        <v>667</v>
      </c>
      <c r="T63" s="55" t="s">
        <v>668</v>
      </c>
      <c r="U63" s="133" t="s">
        <v>669</v>
      </c>
      <c r="V63" s="16" t="s">
        <v>543</v>
      </c>
      <c r="W63" s="148" t="str">
        <f>"0x"&amp;DEC2HEX(J43)</f>
        <v>0x614</v>
      </c>
      <c r="X63" s="1146"/>
    </row>
    <row r="64" spans="1:26" ht="29.25" hidden="1" thickBot="1">
      <c r="A64" s="54" t="s">
        <v>268</v>
      </c>
      <c r="B64" s="55" t="s">
        <v>267</v>
      </c>
      <c r="C64" s="56" t="s">
        <v>122</v>
      </c>
      <c r="D64" s="1147">
        <f>B11</f>
        <v>10000</v>
      </c>
      <c r="E64" s="18" t="s">
        <v>269</v>
      </c>
      <c r="G64" s="1138" t="s">
        <v>270</v>
      </c>
      <c r="H64" s="1139"/>
      <c r="I64" s="1139"/>
      <c r="J64" s="1139"/>
      <c r="K64" s="1135"/>
      <c r="M64" s="68" t="s">
        <v>260</v>
      </c>
      <c r="N64" s="24" t="s">
        <v>261</v>
      </c>
      <c r="O64" s="30" t="s">
        <v>262</v>
      </c>
      <c r="P64" s="1132">
        <f>P55+P56+P57+P61</f>
        <v>26</v>
      </c>
      <c r="Q64" s="125" t="s">
        <v>201</v>
      </c>
      <c r="S64" s="134" t="s">
        <v>522</v>
      </c>
      <c r="T64" s="55" t="s">
        <v>670</v>
      </c>
      <c r="U64" s="135" t="s">
        <v>524</v>
      </c>
      <c r="V64" s="30" t="s">
        <v>525</v>
      </c>
      <c r="W64" s="150" t="str">
        <f>"0x"&amp;DEC2HEX(IF(D44="Ultrashort",54,P43))</f>
        <v>0x98</v>
      </c>
      <c r="X64" s="1148" t="s">
        <v>671</v>
      </c>
    </row>
    <row r="65" spans="1:24" ht="57.75" hidden="1" thickBot="1">
      <c r="A65" s="39" t="s">
        <v>34</v>
      </c>
      <c r="B65" s="24" t="s">
        <v>276</v>
      </c>
      <c r="C65" s="58">
        <v>1500</v>
      </c>
      <c r="D65" s="1137">
        <f>B18</f>
        <v>1500</v>
      </c>
      <c r="E65" s="41" t="s">
        <v>201</v>
      </c>
      <c r="G65" s="92" t="s">
        <v>277</v>
      </c>
      <c r="H65" s="93" t="s">
        <v>278</v>
      </c>
      <c r="I65" s="55" t="s">
        <v>672</v>
      </c>
      <c r="J65" s="103" t="str">
        <f>IF((D50=1)*(D43="TriggerWidth"),J43+IF(ROUNDUP((1000*D48/J39),0)&gt;J67,ROUNDUP((1000*D48/J39),0)-J67,0),"null")</f>
        <v>null</v>
      </c>
      <c r="K65" s="104" t="s">
        <v>140</v>
      </c>
      <c r="M65" s="20" t="s">
        <v>271</v>
      </c>
      <c r="N65" s="21" t="s">
        <v>272</v>
      </c>
      <c r="O65" s="21" t="s">
        <v>273</v>
      </c>
      <c r="P65" s="1130">
        <f>64-P57-P61-P63</f>
        <v>10</v>
      </c>
      <c r="Q65" s="131" t="s">
        <v>201</v>
      </c>
      <c r="S65" s="134" t="s">
        <v>673</v>
      </c>
      <c r="T65" s="55" t="s">
        <v>674</v>
      </c>
      <c r="U65" s="135" t="s">
        <v>675</v>
      </c>
      <c r="V65" s="30" t="s">
        <v>533</v>
      </c>
      <c r="W65" s="150" t="str">
        <f>"0X"&amp;DEC2HEX(J50)</f>
        <v>0X0</v>
      </c>
      <c r="X65" s="1148"/>
    </row>
    <row r="66" spans="1:24" ht="57.75" hidden="1" thickBot="1">
      <c r="A66" s="59" t="s">
        <v>32</v>
      </c>
      <c r="B66" s="24" t="str">
        <f>"流通道包间隔 
范围:0"&amp;"-"&amp;J61</f>
        <v>流通道包间隔 
范围:0-5055540</v>
      </c>
      <c r="C66" s="58">
        <v>0</v>
      </c>
      <c r="D66" s="1137">
        <v>0</v>
      </c>
      <c r="E66" s="41" t="s">
        <v>106</v>
      </c>
      <c r="G66" s="94" t="s">
        <v>283</v>
      </c>
      <c r="H66" s="95" t="s">
        <v>284</v>
      </c>
      <c r="I66" s="26" t="s">
        <v>676</v>
      </c>
      <c r="J66" s="105" t="str">
        <f>IF((D50=1)*(D43="TriggerWidth"),IF(D48&gt;D47,(ROUNDUP((1000*D48/J39),0)*J39+P47)/1000,(ROUNDUP((1000*D47/J39),0)*J39+P47)/1000),"null")</f>
        <v>null</v>
      </c>
      <c r="K66" s="97" t="s">
        <v>117</v>
      </c>
      <c r="M66" s="1343" t="s">
        <v>280</v>
      </c>
      <c r="N66" s="1344"/>
      <c r="O66" s="1344"/>
      <c r="P66" s="1344"/>
      <c r="Q66" s="1345"/>
      <c r="S66" s="134" t="s">
        <v>677</v>
      </c>
      <c r="T66" s="55" t="s">
        <v>678</v>
      </c>
      <c r="U66" s="135" t="s">
        <v>679</v>
      </c>
      <c r="V66" s="30" t="s">
        <v>680</v>
      </c>
      <c r="W66" s="150" t="str">
        <f>"0x"&amp;DEC2HEX(J67)</f>
        <v>0xB1</v>
      </c>
      <c r="X66" s="1148"/>
    </row>
    <row r="67" spans="1:24" ht="43.5" hidden="1" thickBot="1">
      <c r="A67" s="60" t="s">
        <v>30</v>
      </c>
      <c r="B67" s="26" t="str">
        <f>"预留带宽 
范围:0-"&amp;J63</f>
        <v>预留带宽 
范围:0-99</v>
      </c>
      <c r="C67" s="61">
        <v>10</v>
      </c>
      <c r="D67" s="1140">
        <f>B14</f>
        <v>2</v>
      </c>
      <c r="E67" s="23" t="s">
        <v>259</v>
      </c>
      <c r="G67" s="94" t="s">
        <v>681</v>
      </c>
      <c r="H67" s="95" t="s">
        <v>559</v>
      </c>
      <c r="I67" s="26" t="s">
        <v>560</v>
      </c>
      <c r="J67" s="105">
        <f>MAX(INT(D47*1000/J39),1)</f>
        <v>177</v>
      </c>
      <c r="K67" s="106" t="s">
        <v>140</v>
      </c>
      <c r="M67" s="1109" t="s">
        <v>91</v>
      </c>
      <c r="N67" s="1110" t="s">
        <v>92</v>
      </c>
      <c r="O67" s="1110" t="s">
        <v>93</v>
      </c>
      <c r="P67" s="1110" t="s">
        <v>96</v>
      </c>
      <c r="Q67" s="116" t="s">
        <v>95</v>
      </c>
      <c r="S67" s="134" t="s">
        <v>682</v>
      </c>
      <c r="T67" s="55" t="s">
        <v>683</v>
      </c>
      <c r="U67" s="135" t="s">
        <v>684</v>
      </c>
      <c r="V67" s="24" t="s">
        <v>685</v>
      </c>
      <c r="W67" s="150" t="str">
        <f>"0x"&amp;DEC2HEX(IF(D45&lt;=P47/1000,1,J48))</f>
        <v>0xDDF</v>
      </c>
      <c r="X67" s="1148"/>
    </row>
    <row r="68" spans="1:24" ht="29.25" hidden="1" thickBot="1">
      <c r="A68" s="1343" t="s">
        <v>293</v>
      </c>
      <c r="B68" s="1344"/>
      <c r="C68" s="1344"/>
      <c r="D68" s="1344"/>
      <c r="E68" s="1345"/>
      <c r="G68" s="1149" t="s">
        <v>686</v>
      </c>
      <c r="H68" s="1150"/>
      <c r="I68" s="1151" t="s">
        <v>686</v>
      </c>
      <c r="J68" s="1151"/>
      <c r="K68" s="1152"/>
      <c r="M68" s="15" t="s">
        <v>288</v>
      </c>
      <c r="N68" s="55" t="s">
        <v>289</v>
      </c>
      <c r="O68" s="16" t="s">
        <v>290</v>
      </c>
      <c r="P68" s="1114">
        <f>36</f>
        <v>36</v>
      </c>
      <c r="Q68" s="121" t="s">
        <v>201</v>
      </c>
      <c r="S68" s="134" t="s">
        <v>687</v>
      </c>
      <c r="T68" s="55" t="s">
        <v>688</v>
      </c>
      <c r="U68" s="135" t="s">
        <v>689</v>
      </c>
      <c r="V68" s="30" t="s">
        <v>548</v>
      </c>
      <c r="W68" s="1153" t="str">
        <f>"0x"&amp;DEC2HEX(MAX(J43,J44,J45,J46))</f>
        <v>0xE01</v>
      </c>
      <c r="X68" s="1148"/>
    </row>
    <row r="69" spans="1:24" ht="40.5" hidden="1">
      <c r="A69" s="15" t="s">
        <v>300</v>
      </c>
      <c r="B69" s="16" t="s">
        <v>299</v>
      </c>
      <c r="C69" s="16">
        <v>0</v>
      </c>
      <c r="D69" s="1128">
        <f>B12</f>
        <v>0</v>
      </c>
      <c r="E69" s="38" t="s">
        <v>122</v>
      </c>
      <c r="G69" s="76" t="s">
        <v>584</v>
      </c>
      <c r="H69" s="76" t="s">
        <v>585</v>
      </c>
      <c r="I69" s="76" t="s">
        <v>1594</v>
      </c>
      <c r="J69" s="79" t="str">
        <f>IF(D44="Standard","null",J43+J50+J48+ROUNDUP(P47/1000,0)+ROUNDUP(P51*J39/1000,0))</f>
        <v>null</v>
      </c>
      <c r="K69" s="79" t="s">
        <v>117</v>
      </c>
      <c r="M69" s="68" t="s">
        <v>294</v>
      </c>
      <c r="N69" s="24" t="s">
        <v>295</v>
      </c>
      <c r="O69" s="30" t="s">
        <v>296</v>
      </c>
      <c r="P69" s="1132">
        <v>10</v>
      </c>
      <c r="Q69" s="125" t="s">
        <v>201</v>
      </c>
      <c r="S69" s="137" t="s">
        <v>691</v>
      </c>
      <c r="T69" s="55" t="s">
        <v>692</v>
      </c>
      <c r="U69" s="135" t="s">
        <v>693</v>
      </c>
      <c r="V69" s="30" t="s">
        <v>548</v>
      </c>
      <c r="W69" s="152" t="str">
        <f>"0x"&amp;IF(D50=0,DEC2HEX(MAX(J43,J44,J46)),DEC2HEX(MAX(J43,J44)))</f>
        <v>0xE01</v>
      </c>
      <c r="X69" s="1148"/>
    </row>
    <row r="70" spans="1:24" ht="29.25" hidden="1" thickBot="1">
      <c r="A70" s="20" t="s">
        <v>306</v>
      </c>
      <c r="B70" s="21" t="s">
        <v>293</v>
      </c>
      <c r="C70" s="21">
        <f>VLOOKUP($C$36,$S$38:$AQ$55,22,FALSE)</f>
        <v>408</v>
      </c>
      <c r="D70" s="1129">
        <f>B13</f>
        <v>409</v>
      </c>
      <c r="E70" s="62" t="s">
        <v>125</v>
      </c>
      <c r="G70" s="1149" t="s">
        <v>694</v>
      </c>
      <c r="H70" s="1150"/>
      <c r="I70" s="1151" t="s">
        <v>694</v>
      </c>
      <c r="J70" s="1151"/>
      <c r="K70" s="1152"/>
      <c r="M70" s="111" t="s">
        <v>301</v>
      </c>
      <c r="N70" s="112" t="s">
        <v>302</v>
      </c>
      <c r="O70" s="112" t="s">
        <v>303</v>
      </c>
      <c r="P70" s="1116">
        <v>60</v>
      </c>
      <c r="Q70" s="88" t="s">
        <v>201</v>
      </c>
      <c r="S70" s="137" t="s">
        <v>695</v>
      </c>
      <c r="T70" s="55" t="s">
        <v>696</v>
      </c>
      <c r="U70" s="135" t="s">
        <v>697</v>
      </c>
      <c r="V70" s="30" t="s">
        <v>548</v>
      </c>
      <c r="W70" s="152" t="str">
        <f>"0x"&amp;IF(D43="TriggerWidth",DEC2HEX(MAX(J43,J45)),IF(D51=0,DEC2HEX(MAX(J43,J44,IF(D62=1,0,J45))),DEC2HEX(MAX(J43,J44,IF(D62=1,0,J45),J46))))</f>
        <v>0xE01</v>
      </c>
      <c r="X70" s="1148"/>
    </row>
    <row r="71" spans="1:24" ht="41.25" hidden="1" thickBot="1">
      <c r="A71" s="1343" t="s">
        <v>698</v>
      </c>
      <c r="B71" s="1344"/>
      <c r="C71" s="1344"/>
      <c r="D71" s="1344"/>
      <c r="E71" s="1345"/>
      <c r="G71" s="76" t="s">
        <v>587</v>
      </c>
      <c r="H71" s="76" t="s">
        <v>588</v>
      </c>
      <c r="I71" s="76" t="s">
        <v>1595</v>
      </c>
      <c r="J71" s="76">
        <f>J48+IF(D62=1,0,J50)+P46</f>
        <v>3585</v>
      </c>
      <c r="K71" s="76" t="s">
        <v>140</v>
      </c>
      <c r="M71" s="39" t="s">
        <v>307</v>
      </c>
      <c r="N71" s="24" t="s">
        <v>308</v>
      </c>
      <c r="O71" s="24" t="s">
        <v>309</v>
      </c>
      <c r="P71" s="1154">
        <f>D57*D58*IF(D41=8,1,IF(D41="RGB8",3,IF(D41="packed12",1.5,2)))</f>
        <v>2834304</v>
      </c>
      <c r="Q71" s="125" t="s">
        <v>201</v>
      </c>
      <c r="S71" s="137" t="s">
        <v>700</v>
      </c>
      <c r="T71" s="55" t="s">
        <v>701</v>
      </c>
      <c r="U71" s="135" t="s">
        <v>702</v>
      </c>
      <c r="V71" s="24" t="s">
        <v>548</v>
      </c>
      <c r="W71" s="150" t="str">
        <f>"0x"&amp;IF((D50=1)*(D43="TriggerWidth"),1,0)</f>
        <v>0x0</v>
      </c>
      <c r="X71" s="1148"/>
    </row>
    <row r="72" spans="1:24" ht="42.75" hidden="1">
      <c r="A72" s="15" t="s">
        <v>321</v>
      </c>
      <c r="B72" s="16" t="s">
        <v>320</v>
      </c>
      <c r="C72" s="16">
        <v>1</v>
      </c>
      <c r="D72" s="1128">
        <v>1</v>
      </c>
      <c r="E72" s="38" t="s">
        <v>122</v>
      </c>
      <c r="G72" s="1346" t="s">
        <v>733</v>
      </c>
      <c r="H72" s="1346"/>
      <c r="I72" s="1346"/>
      <c r="J72" s="1346"/>
      <c r="K72" s="1346"/>
      <c r="M72" s="68" t="s">
        <v>314</v>
      </c>
      <c r="N72" s="24" t="s">
        <v>315</v>
      </c>
      <c r="O72" s="24" t="s">
        <v>316</v>
      </c>
      <c r="P72" s="1155">
        <f>P71+P70*D60</f>
        <v>2834304</v>
      </c>
      <c r="Q72" s="125" t="s">
        <v>201</v>
      </c>
      <c r="S72" s="137" t="s">
        <v>325</v>
      </c>
      <c r="T72" s="24" t="s">
        <v>703</v>
      </c>
      <c r="U72" s="24" t="s">
        <v>704</v>
      </c>
      <c r="V72" s="24" t="s">
        <v>705</v>
      </c>
      <c r="W72" s="1156" t="str">
        <f>"0x"&amp;DEC2HEX(P43/54*VLOOKUP($C$36,$S$38:$AM$55,4,FALSE)-(VLOOKUP($C$36,$S$38:$AM$55,9,FALSE)/VLOOKUP($C$36,$S$38:$AM$55,5,FALSE)/VLOOKUP($C$36,$S$38:$AM$55,6,FALSE)))</f>
        <v>0x1B1</v>
      </c>
      <c r="X72" s="1157"/>
    </row>
    <row r="73" spans="1:24" ht="29.25" hidden="1" thickBot="1">
      <c r="A73" s="20" t="s">
        <v>329</v>
      </c>
      <c r="B73" s="21" t="s">
        <v>328</v>
      </c>
      <c r="C73" s="21">
        <v>1</v>
      </c>
      <c r="D73" s="1129">
        <v>1</v>
      </c>
      <c r="E73" s="62" t="s">
        <v>122</v>
      </c>
      <c r="G73" s="79" t="s">
        <v>734</v>
      </c>
      <c r="H73" s="79" t="s">
        <v>735</v>
      </c>
      <c r="I73" s="79" t="s">
        <v>122</v>
      </c>
      <c r="J73" s="79">
        <v>8</v>
      </c>
      <c r="K73" s="79" t="s">
        <v>736</v>
      </c>
      <c r="M73" s="68" t="s">
        <v>322</v>
      </c>
      <c r="N73" s="24" t="s">
        <v>323</v>
      </c>
      <c r="O73" s="30" t="s">
        <v>324</v>
      </c>
      <c r="P73" s="1158">
        <f>INT(P72/(D65-P63))</f>
        <v>1936</v>
      </c>
      <c r="Q73" s="125" t="s">
        <v>421</v>
      </c>
      <c r="S73" s="137" t="s">
        <v>317</v>
      </c>
      <c r="T73" s="24" t="str">
        <f>IF(OR(C39="A7",C39="KU3P"),"0x01100000","0x77601500")</f>
        <v>0x77601500</v>
      </c>
      <c r="U73" s="135" t="s">
        <v>318</v>
      </c>
      <c r="V73" s="24" t="s">
        <v>122</v>
      </c>
      <c r="W73" s="150" t="s">
        <v>319</v>
      </c>
      <c r="X73" s="1159"/>
    </row>
    <row r="74" spans="1:24" ht="129" hidden="1" thickBot="1">
      <c r="A74" s="1343" t="s">
        <v>737</v>
      </c>
      <c r="B74" s="1344"/>
      <c r="C74" s="1344"/>
      <c r="D74" s="1344"/>
      <c r="E74" s="1345"/>
      <c r="G74" s="113" t="s">
        <v>738</v>
      </c>
      <c r="H74" s="113" t="s">
        <v>739</v>
      </c>
      <c r="I74" s="113" t="s">
        <v>122</v>
      </c>
      <c r="J74" s="113">
        <f>POWER(2,ROUNDUP(LOG((2*VLOOKUP($C$36,$S$38:$AT$57,11,FALSE)*VLOOKUP($C$36,$S$38:$AT$57,12,FALSE)+P69+P70),2),0))</f>
        <v>8388608</v>
      </c>
      <c r="K74" s="113" t="s">
        <v>394</v>
      </c>
      <c r="M74" s="68" t="s">
        <v>330</v>
      </c>
      <c r="N74" s="24" t="s">
        <v>331</v>
      </c>
      <c r="O74" s="30" t="s">
        <v>332</v>
      </c>
      <c r="P74" s="1158">
        <f>P72-(D65-P63)*P73</f>
        <v>0</v>
      </c>
      <c r="Q74" s="125" t="s">
        <v>201</v>
      </c>
      <c r="S74" s="140" t="s">
        <v>333</v>
      </c>
      <c r="T74" s="28" t="s">
        <v>335</v>
      </c>
      <c r="U74" s="28" t="s">
        <v>334</v>
      </c>
      <c r="V74" s="28" t="s">
        <v>336</v>
      </c>
      <c r="W74" s="155" t="str">
        <f>"0x"&amp;DEC2HEX(D65-P63)</f>
        <v>0x5B8</v>
      </c>
      <c r="X74" s="1160" t="s">
        <v>337</v>
      </c>
    </row>
    <row r="75" spans="1:24" hidden="1">
      <c r="A75" s="15" t="s">
        <v>348</v>
      </c>
      <c r="B75" s="16" t="s">
        <v>347</v>
      </c>
      <c r="C75" s="16">
        <v>1</v>
      </c>
      <c r="D75" s="1128">
        <f>B6</f>
        <v>1</v>
      </c>
      <c r="E75" s="38" t="s">
        <v>122</v>
      </c>
      <c r="G75" s="76" t="s">
        <v>740</v>
      </c>
      <c r="H75" s="76" t="s">
        <v>741</v>
      </c>
      <c r="I75" s="76" t="s">
        <v>122</v>
      </c>
      <c r="J75" s="76">
        <f>8*1024*1024*1024/(8*J74)-1</f>
        <v>127</v>
      </c>
      <c r="K75" s="76" t="s">
        <v>122</v>
      </c>
      <c r="M75" s="68" t="s">
        <v>339</v>
      </c>
      <c r="N75" s="24" t="s">
        <v>340</v>
      </c>
      <c r="O75" s="30" t="s">
        <v>341</v>
      </c>
      <c r="P75" s="1132">
        <f>IF(MOD(P71,(D65-P63))=0,0,1)</f>
        <v>0</v>
      </c>
      <c r="Q75" s="125" t="s">
        <v>421</v>
      </c>
      <c r="S75" s="137" t="s">
        <v>342</v>
      </c>
      <c r="T75" s="24" t="s">
        <v>344</v>
      </c>
      <c r="U75" s="24" t="s">
        <v>343</v>
      </c>
      <c r="V75" s="24" t="s">
        <v>345</v>
      </c>
      <c r="W75" s="24" t="str">
        <f>"0x"&amp;DEC2HEX(J59)</f>
        <v>0x0</v>
      </c>
      <c r="X75" s="1294" t="s">
        <v>346</v>
      </c>
    </row>
    <row r="76" spans="1:24" ht="43.5" hidden="1" thickBot="1">
      <c r="A76" s="20" t="s">
        <v>357</v>
      </c>
      <c r="B76" s="21" t="s">
        <v>356</v>
      </c>
      <c r="C76" s="21">
        <v>1</v>
      </c>
      <c r="D76" s="1129">
        <f>B7</f>
        <v>1</v>
      </c>
      <c r="E76" s="62" t="s">
        <v>122</v>
      </c>
      <c r="G76" s="1" t="s">
        <v>414</v>
      </c>
      <c r="H76" s="1161">
        <f>C57*8*IF(D41=8,1,IF(D41="packed12",1.5,IF(D41="RGB8",3,2)))/J39</f>
        <v>5.5019538188277091</v>
      </c>
      <c r="M76" s="68" t="s">
        <v>349</v>
      </c>
      <c r="N76" s="24" t="s">
        <v>350</v>
      </c>
      <c r="O76" s="30" t="s">
        <v>351</v>
      </c>
      <c r="P76" s="1158">
        <f>IF(P74&lt;P65,P65,P74)</f>
        <v>10</v>
      </c>
      <c r="Q76" s="125" t="s">
        <v>201</v>
      </c>
      <c r="S76" s="141" t="s">
        <v>352</v>
      </c>
      <c r="T76" s="26" t="s">
        <v>354</v>
      </c>
      <c r="U76" s="26" t="s">
        <v>353</v>
      </c>
      <c r="V76" s="26" t="s">
        <v>355</v>
      </c>
      <c r="W76" s="26" t="str">
        <f>"0x"&amp;DEC2HEX(J58)</f>
        <v>0x0</v>
      </c>
      <c r="X76" s="1295"/>
    </row>
    <row r="77" spans="1:24" ht="29.25" hidden="1" thickBot="1">
      <c r="A77" s="1343" t="s">
        <v>706</v>
      </c>
      <c r="B77" s="1344"/>
      <c r="C77" s="1344"/>
      <c r="D77" s="1344"/>
      <c r="E77" s="1345"/>
      <c r="G77" s="1" t="s">
        <v>707</v>
      </c>
      <c r="H77" s="1">
        <f>J55*8/1000/1000/1000</f>
        <v>2.341923107411811</v>
      </c>
      <c r="M77" s="68" t="s">
        <v>358</v>
      </c>
      <c r="N77" s="24" t="s">
        <v>359</v>
      </c>
      <c r="O77" s="30" t="s">
        <v>360</v>
      </c>
      <c r="P77" s="1158">
        <f>P64+P63+P68</f>
        <v>98</v>
      </c>
      <c r="Q77" s="125" t="s">
        <v>201</v>
      </c>
    </row>
    <row r="78" spans="1:24" ht="28.5" hidden="1">
      <c r="A78" s="15" t="s">
        <v>348</v>
      </c>
      <c r="B78" s="16" t="s">
        <v>347</v>
      </c>
      <c r="C78" s="16">
        <v>1</v>
      </c>
      <c r="D78" s="1128">
        <v>1</v>
      </c>
      <c r="E78" s="38" t="s">
        <v>122</v>
      </c>
      <c r="G78" s="128" t="s">
        <v>415</v>
      </c>
      <c r="H78" s="128">
        <f>I78-H77</f>
        <v>26.658076892588188</v>
      </c>
      <c r="I78" s="1">
        <f>42.64*0.7-0.848</f>
        <v>29</v>
      </c>
      <c r="M78" s="68" t="s">
        <v>366</v>
      </c>
      <c r="N78" s="24" t="s">
        <v>367</v>
      </c>
      <c r="O78" s="30" t="s">
        <v>368</v>
      </c>
      <c r="P78" s="1158">
        <f>P64+P63+P69</f>
        <v>72</v>
      </c>
      <c r="Q78" s="125" t="s">
        <v>201</v>
      </c>
      <c r="U78" s="146"/>
    </row>
    <row r="79" spans="1:24" ht="57.75" hidden="1" thickBot="1">
      <c r="A79" s="20" t="s">
        <v>357</v>
      </c>
      <c r="B79" s="21" t="s">
        <v>356</v>
      </c>
      <c r="C79" s="21">
        <v>1</v>
      </c>
      <c r="D79" s="1129">
        <v>1</v>
      </c>
      <c r="E79" s="62" t="s">
        <v>122</v>
      </c>
      <c r="G79" s="128" t="s">
        <v>417</v>
      </c>
      <c r="H79" s="129">
        <f>H78-H76</f>
        <v>21.15612307376048</v>
      </c>
      <c r="I79" s="128" t="s">
        <v>418</v>
      </c>
      <c r="M79" s="68" t="s">
        <v>374</v>
      </c>
      <c r="N79" s="24" t="s">
        <v>375</v>
      </c>
      <c r="O79" s="30" t="s">
        <v>376</v>
      </c>
      <c r="P79" s="1158">
        <f>P73*(D65+P64)+P75*(P76+P64+P63)</f>
        <v>2954336</v>
      </c>
      <c r="Q79" s="125" t="s">
        <v>201</v>
      </c>
      <c r="U79" s="146"/>
    </row>
    <row r="80" spans="1:24" ht="42.75" hidden="1">
      <c r="A80" s="1296" t="s">
        <v>365</v>
      </c>
      <c r="B80" s="1297"/>
      <c r="C80" s="1297"/>
      <c r="D80" s="1297"/>
      <c r="E80" s="1298"/>
      <c r="G80" s="128" t="s">
        <v>419</v>
      </c>
      <c r="H80" s="128">
        <f>H76-H77</f>
        <v>3.1600307114158981</v>
      </c>
      <c r="I80" s="128" t="s">
        <v>420</v>
      </c>
      <c r="M80" s="39" t="s">
        <v>377</v>
      </c>
      <c r="N80" s="24" t="s">
        <v>378</v>
      </c>
      <c r="O80" s="24" t="s">
        <v>379</v>
      </c>
      <c r="P80" s="1162">
        <f>(2+P75+P73)*P85</f>
        <v>38760</v>
      </c>
      <c r="Q80" s="88" t="s">
        <v>201</v>
      </c>
      <c r="U80" s="146"/>
    </row>
    <row r="81" spans="1:17" ht="29.25" hidden="1" thickBot="1">
      <c r="A81" s="184" t="s">
        <v>58</v>
      </c>
      <c r="B81" s="185" t="s">
        <v>373</v>
      </c>
      <c r="C81" s="185"/>
      <c r="D81" s="186">
        <f>J41</f>
        <v>99.088386841062231</v>
      </c>
      <c r="E81" s="187"/>
      <c r="G81" s="128"/>
      <c r="H81" s="128"/>
      <c r="I81" s="128"/>
      <c r="M81" s="39" t="s">
        <v>380</v>
      </c>
      <c r="N81" s="24" t="s">
        <v>381</v>
      </c>
      <c r="O81" s="24" t="s">
        <v>382</v>
      </c>
      <c r="P81" s="1163">
        <f>P77+P78+P79+P80</f>
        <v>2993266</v>
      </c>
      <c r="Q81" s="88" t="s">
        <v>201</v>
      </c>
    </row>
    <row r="82" spans="1:17" ht="28.5" hidden="1">
      <c r="G82" s="128"/>
      <c r="H82" s="128"/>
      <c r="I82" s="128"/>
      <c r="M82" s="39" t="s">
        <v>383</v>
      </c>
      <c r="N82" s="24" t="s">
        <v>384</v>
      </c>
      <c r="O82" s="24" t="s">
        <v>385</v>
      </c>
      <c r="P82" s="1116">
        <f>INT(1000000*D64*(100-D67)/80)</f>
        <v>12250000000</v>
      </c>
      <c r="Q82" s="88" t="s">
        <v>386</v>
      </c>
    </row>
    <row r="83" spans="1:17" ht="29.25" hidden="1" thickBot="1">
      <c r="M83" s="42" t="s">
        <v>387</v>
      </c>
      <c r="N83" s="28" t="s">
        <v>388</v>
      </c>
      <c r="O83" s="28" t="s">
        <v>389</v>
      </c>
      <c r="P83" s="1133">
        <f>ROUNDUP(P81*1000000/P82,0)*10</f>
        <v>2450</v>
      </c>
      <c r="Q83" s="23" t="s">
        <v>117</v>
      </c>
    </row>
    <row r="84" spans="1:17" ht="15" hidden="1" thickBot="1">
      <c r="M84" s="1343" t="s">
        <v>390</v>
      </c>
      <c r="N84" s="1344"/>
      <c r="O84" s="1344"/>
      <c r="P84" s="1344"/>
      <c r="Q84" s="1345"/>
    </row>
    <row r="85" spans="1:17" ht="28.5" hidden="1">
      <c r="M85" s="86" t="s">
        <v>391</v>
      </c>
      <c r="N85" s="190" t="s">
        <v>392</v>
      </c>
      <c r="O85" s="24" t="s">
        <v>393</v>
      </c>
      <c r="P85" s="1116">
        <f>MAX(ROUNDUP(D66*D64/1000/8,0),P62+8)</f>
        <v>20</v>
      </c>
      <c r="Q85" s="88" t="s">
        <v>394</v>
      </c>
    </row>
    <row r="86" spans="1:17" ht="57.75" hidden="1" thickBot="1">
      <c r="M86" s="94" t="s">
        <v>395</v>
      </c>
      <c r="N86" s="95" t="s">
        <v>396</v>
      </c>
      <c r="O86" s="26" t="s">
        <v>397</v>
      </c>
      <c r="P86" s="1141">
        <f>ROUNDDOWN((P82-(P79+P78+P77))/(P73+P75+2),0)</f>
        <v>6319424</v>
      </c>
      <c r="Q86" s="97" t="s">
        <v>394</v>
      </c>
    </row>
    <row r="113" spans="1:9">
      <c r="G113" s="189"/>
      <c r="H113" s="1292"/>
      <c r="I113" s="1292"/>
    </row>
    <row r="114" spans="1:9">
      <c r="G114" s="189"/>
      <c r="H114" s="189"/>
      <c r="I114" s="189"/>
    </row>
    <row r="115" spans="1:9">
      <c r="G115" s="189"/>
      <c r="H115" s="189"/>
      <c r="I115" s="189"/>
    </row>
    <row r="116" spans="1:9">
      <c r="G116" s="189"/>
      <c r="H116" s="189"/>
      <c r="I116" s="189"/>
    </row>
    <row r="117" spans="1:9">
      <c r="F117" s="1085"/>
      <c r="G117" s="189"/>
      <c r="H117" s="189"/>
      <c r="I117" s="189"/>
    </row>
    <row r="118" spans="1:9">
      <c r="F118" s="189"/>
      <c r="G118" s="189"/>
      <c r="H118" s="1292"/>
      <c r="I118" s="1292"/>
    </row>
    <row r="119" spans="1:9">
      <c r="F119" s="189"/>
      <c r="G119" s="189"/>
      <c r="H119" s="189"/>
      <c r="I119" s="189"/>
    </row>
    <row r="120" spans="1:9">
      <c r="F120" s="189"/>
      <c r="G120" s="189"/>
      <c r="H120" s="189"/>
      <c r="I120" s="189"/>
    </row>
    <row r="121" spans="1:9">
      <c r="A121" s="189"/>
      <c r="B121" s="189"/>
      <c r="C121" s="189"/>
      <c r="D121" s="189"/>
      <c r="F121" s="189"/>
      <c r="G121" s="189"/>
      <c r="H121" s="189"/>
      <c r="I121" s="189"/>
    </row>
    <row r="122" spans="1:9">
      <c r="A122" s="189"/>
      <c r="B122" s="189"/>
      <c r="C122" s="189"/>
      <c r="D122" s="189"/>
      <c r="F122" s="189"/>
      <c r="G122" s="189"/>
      <c r="H122" s="189"/>
      <c r="I122" s="189"/>
    </row>
    <row r="123" spans="1:9">
      <c r="A123" s="189"/>
      <c r="B123" s="189"/>
      <c r="C123" s="189"/>
      <c r="D123" s="189"/>
      <c r="F123" s="189"/>
      <c r="G123" s="189"/>
      <c r="H123" s="1292"/>
      <c r="I123" s="1292"/>
    </row>
    <row r="124" spans="1:9">
      <c r="A124" s="189"/>
      <c r="B124" s="189"/>
      <c r="C124" s="189"/>
      <c r="D124" s="189"/>
      <c r="E124" s="1085"/>
      <c r="F124" s="189"/>
      <c r="G124" s="189"/>
      <c r="H124" s="189"/>
      <c r="I124" s="189"/>
    </row>
    <row r="125" spans="1:9">
      <c r="A125" s="189"/>
      <c r="B125" s="189"/>
      <c r="C125" s="189"/>
      <c r="D125" s="189"/>
      <c r="E125" s="189"/>
      <c r="F125" s="189"/>
      <c r="G125" s="189"/>
      <c r="H125" s="189"/>
      <c r="I125" s="189"/>
    </row>
    <row r="126" spans="1:9">
      <c r="A126" s="189"/>
      <c r="B126" s="189"/>
      <c r="C126" s="189"/>
      <c r="D126" s="189"/>
      <c r="E126" s="189"/>
      <c r="F126" s="189"/>
      <c r="G126" s="189"/>
      <c r="H126" s="189"/>
      <c r="I126" s="189"/>
    </row>
    <row r="127" spans="1:9">
      <c r="A127" s="189"/>
      <c r="B127" s="189"/>
      <c r="C127" s="189"/>
      <c r="D127" s="189"/>
      <c r="E127" s="189"/>
      <c r="F127" s="189"/>
      <c r="G127" s="189"/>
      <c r="H127" s="189"/>
      <c r="I127" s="189"/>
    </row>
    <row r="128" spans="1:9">
      <c r="A128" s="1085"/>
      <c r="B128" s="1085"/>
      <c r="C128" s="189"/>
      <c r="D128" s="189"/>
      <c r="E128" s="189"/>
      <c r="F128" s="189"/>
      <c r="G128" s="189"/>
      <c r="H128" s="189"/>
      <c r="I128" s="189"/>
    </row>
    <row r="129" spans="1:9">
      <c r="A129" s="189"/>
      <c r="B129" s="1085"/>
      <c r="C129" s="189"/>
      <c r="D129" s="189"/>
      <c r="E129" s="189"/>
      <c r="F129" s="189"/>
      <c r="G129" s="189"/>
      <c r="H129" s="189"/>
      <c r="I129" s="189"/>
    </row>
    <row r="130" spans="1:9">
      <c r="A130" s="189"/>
      <c r="B130" s="1085"/>
      <c r="C130" s="189"/>
      <c r="D130" s="189"/>
      <c r="E130" s="189"/>
      <c r="F130" s="189"/>
      <c r="G130" s="189"/>
      <c r="H130" s="189"/>
      <c r="I130" s="189"/>
    </row>
    <row r="131" spans="1:9">
      <c r="A131" s="189"/>
      <c r="B131" s="189"/>
      <c r="C131" s="189"/>
      <c r="D131" s="189"/>
      <c r="E131" s="189"/>
      <c r="F131" s="189"/>
      <c r="G131" s="189"/>
      <c r="H131" s="189"/>
      <c r="I131" s="189"/>
    </row>
    <row r="132" spans="1:9">
      <c r="A132" s="189"/>
      <c r="B132" s="189"/>
      <c r="C132" s="189"/>
      <c r="D132" s="189"/>
      <c r="E132" s="189"/>
      <c r="F132" s="189"/>
      <c r="G132" s="189"/>
      <c r="H132" s="189"/>
      <c r="I132" s="189"/>
    </row>
    <row r="133" spans="1:9">
      <c r="A133" s="189"/>
      <c r="B133" s="189"/>
      <c r="C133" s="189"/>
      <c r="D133" s="189"/>
      <c r="E133" s="189"/>
      <c r="F133" s="189"/>
      <c r="G133" s="189"/>
      <c r="H133" s="189"/>
      <c r="I133" s="189"/>
    </row>
    <row r="134" spans="1:9">
      <c r="A134" s="189"/>
      <c r="B134" s="189"/>
      <c r="C134" s="189"/>
      <c r="D134" s="189"/>
      <c r="E134" s="189"/>
      <c r="F134" s="189"/>
      <c r="G134" s="189"/>
      <c r="H134" s="189"/>
      <c r="I134" s="189"/>
    </row>
    <row r="135" spans="1:9">
      <c r="A135" s="189"/>
      <c r="B135" s="189"/>
      <c r="C135" s="189"/>
      <c r="D135" s="189"/>
      <c r="E135" s="189"/>
      <c r="F135" s="189"/>
      <c r="G135" s="189"/>
      <c r="H135" s="189"/>
      <c r="I135" s="189"/>
    </row>
    <row r="136" spans="1:9">
      <c r="A136" s="189"/>
      <c r="B136" s="189"/>
      <c r="C136" s="189"/>
      <c r="D136" s="189"/>
      <c r="E136" s="189"/>
      <c r="F136" s="189"/>
      <c r="G136" s="189"/>
      <c r="H136" s="189"/>
      <c r="I136" s="189"/>
    </row>
    <row r="137" spans="1:9">
      <c r="A137" s="189"/>
      <c r="B137" s="189"/>
      <c r="C137" s="189"/>
      <c r="D137" s="189"/>
      <c r="E137" s="189"/>
      <c r="F137" s="189"/>
      <c r="G137" s="189"/>
      <c r="H137" s="189"/>
      <c r="I137" s="189"/>
    </row>
    <row r="138" spans="1:9">
      <c r="A138" s="189"/>
      <c r="B138" s="189"/>
      <c r="C138" s="189"/>
      <c r="D138" s="189"/>
      <c r="E138" s="189"/>
      <c r="F138" s="189"/>
      <c r="G138" s="191"/>
      <c r="H138" s="191"/>
      <c r="I138" s="191"/>
    </row>
    <row r="139" spans="1:9">
      <c r="A139" s="189"/>
      <c r="B139" s="189"/>
      <c r="C139" s="189"/>
      <c r="D139" s="189"/>
      <c r="E139" s="189"/>
      <c r="F139" s="189"/>
    </row>
    <row r="140" spans="1:9">
      <c r="A140" s="189"/>
      <c r="B140" s="189"/>
      <c r="C140" s="189"/>
      <c r="D140" s="189"/>
      <c r="E140" s="189"/>
      <c r="F140" s="189"/>
    </row>
    <row r="141" spans="1:9">
      <c r="A141" s="189"/>
      <c r="B141" s="189"/>
      <c r="C141" s="189"/>
      <c r="D141" s="189"/>
      <c r="E141" s="189"/>
      <c r="F141" s="189"/>
    </row>
    <row r="142" spans="1:9">
      <c r="A142" s="189"/>
      <c r="B142" s="189"/>
      <c r="C142" s="189"/>
      <c r="D142" s="189"/>
      <c r="E142" s="189"/>
      <c r="F142" s="191"/>
    </row>
    <row r="143" spans="1:9">
      <c r="A143" s="189"/>
      <c r="B143" s="189"/>
      <c r="C143" s="189"/>
      <c r="D143" s="189"/>
      <c r="E143" s="189"/>
    </row>
    <row r="144" spans="1:9">
      <c r="A144" s="189"/>
      <c r="B144" s="189"/>
      <c r="C144" s="189"/>
      <c r="D144" s="189"/>
      <c r="E144" s="189"/>
    </row>
    <row r="145" spans="1:5">
      <c r="A145" s="189"/>
      <c r="B145" s="189"/>
      <c r="C145" s="189"/>
      <c r="D145" s="189"/>
      <c r="E145" s="189"/>
    </row>
    <row r="146" spans="1:5">
      <c r="A146" s="191"/>
      <c r="B146" s="191"/>
      <c r="C146" s="191"/>
      <c r="D146" s="191"/>
      <c r="E146" s="189"/>
    </row>
    <row r="147" spans="1:5">
      <c r="E147" s="189"/>
    </row>
    <row r="148" spans="1:5">
      <c r="E148" s="189"/>
    </row>
    <row r="149" spans="1:5">
      <c r="E149" s="191"/>
    </row>
  </sheetData>
  <sheetProtection algorithmName="SHA-512" hashValue="PUK1zHYP/50LMbIDuBLs+mbZIiNL44HhhPat/L7DeAG3PfsHq7wUXurpRh1f6NfIeYnPAOxbDYRfvxxEbL/eoQ==" saltValue="M9Qy6cztRHIliVGPL3ELcQ==" spinCount="100000" sheet="1" objects="1" scenarios="1"/>
  <mergeCells count="37">
    <mergeCell ref="A38:E38"/>
    <mergeCell ref="A26:B26"/>
    <mergeCell ref="A27:B27"/>
    <mergeCell ref="A28:B28"/>
    <mergeCell ref="A29:B29"/>
    <mergeCell ref="A30:B30"/>
    <mergeCell ref="A31:B31"/>
    <mergeCell ref="G36:K36"/>
    <mergeCell ref="M36:Q36"/>
    <mergeCell ref="S36:AU36"/>
    <mergeCell ref="G37:K37"/>
    <mergeCell ref="M37:Q37"/>
    <mergeCell ref="S61:X61"/>
    <mergeCell ref="A40:E40"/>
    <mergeCell ref="A42:E42"/>
    <mergeCell ref="G42:K42"/>
    <mergeCell ref="G47:K47"/>
    <mergeCell ref="A49:E49"/>
    <mergeCell ref="A52:E52"/>
    <mergeCell ref="A74:E74"/>
    <mergeCell ref="G53:K53"/>
    <mergeCell ref="M53:Q53"/>
    <mergeCell ref="A54:D54"/>
    <mergeCell ref="A59:E59"/>
    <mergeCell ref="A61:E61"/>
    <mergeCell ref="A63:E63"/>
    <mergeCell ref="M66:Q66"/>
    <mergeCell ref="A68:E68"/>
    <mergeCell ref="A71:E71"/>
    <mergeCell ref="G72:K72"/>
    <mergeCell ref="H123:I123"/>
    <mergeCell ref="X75:X76"/>
    <mergeCell ref="A77:E77"/>
    <mergeCell ref="A80:E80"/>
    <mergeCell ref="M84:Q84"/>
    <mergeCell ref="H113:I113"/>
    <mergeCell ref="H118:I118"/>
  </mergeCells>
  <phoneticPr fontId="36" type="noConversion"/>
  <dataValidations count="40">
    <dataValidation type="whole" operator="lessThanOrEqual" allowBlank="1" showInputMessage="1" showErrorMessage="1" sqref="D55:D56">
      <formula1>C57</formula1>
    </dataValidation>
    <dataValidation allowBlank="1" showErrorMessage="1" promptTitle="参数变化" prompt="该参数会根据当前生效的水平像素Binning、水平像素抽样变化" sqref="B2:B3"/>
    <dataValidation type="whole" operator="lessThanOrEqual" allowBlank="1" showInputMessage="1" showErrorMessage="1" error="Binning/Skipping系数最大为2" prompt="设置垂直Binning/Skipping时，需要同步修改垂直ROI" sqref="D73 D76 D79">
      <formula1>2</formula1>
    </dataValidation>
    <dataValidation type="whole" operator="lessThanOrEqual" allowBlank="1" showInputMessage="1" showErrorMessage="1" error="Binning/Skipping系数最大为2" prompt="设置水平Binning/Skipping时，需要同步修改水平ROI" sqref="D72 D75 D78">
      <formula1>2</formula1>
    </dataValidation>
    <dataValidation type="list" allowBlank="1" showInputMessage="1" showErrorMessage="1" errorTitle="超出范围" error="0:关闭_x000a_1:打开" sqref="D69">
      <formula1>"0,1"</formula1>
    </dataValidation>
    <dataValidation type="whole" allowBlank="1" showInputMessage="1" showErrorMessage="1" errorTitle="设置值超出范围" error="预留带宽设置值超出范围" sqref="D67">
      <formula1>0</formula1>
      <formula2>J63</formula2>
    </dataValidation>
    <dataValidation type="custom" allowBlank="1" showInputMessage="1" showErrorMessage="1" sqref="D65">
      <formula1>AND(MOD(D65,4)=0,D65&gt;=512,D65&lt;=16384)</formula1>
    </dataValidation>
    <dataValidation type="whole" allowBlank="1" showInputMessage="1" showErrorMessage="1" errorTitle="设置值超出范围" error="包间隔设置值超出范围" sqref="D66">
      <formula1>0</formula1>
      <formula2>J61</formula2>
    </dataValidation>
    <dataValidation type="list" allowBlank="1" showInputMessage="1" showErrorMessage="1" sqref="D60 D62 D50:D51">
      <formula1>"0,1"</formula1>
    </dataValidation>
    <dataValidation type="whole" allowBlank="1" showInputMessage="1" showErrorMessage="1" errorTitle="输入数值非法" error="最小值4，最大值D12" sqref="D57">
      <formula1>4</formula1>
      <formula2>C57</formula2>
    </dataValidation>
    <dataValidation type="whole" allowBlank="1" showInputMessage="1" showErrorMessage="1" errorTitle="超出范围" error="触发延时的范围是0-3000000us" sqref="D53">
      <formula1>0</formula1>
      <formula2>3000000</formula2>
    </dataValidation>
    <dataValidation type="whole" allowBlank="1" showInputMessage="1" showErrorMessage="1" errorTitle="输入数值非法" error="最小值2，最大值1000000" sqref="D48">
      <formula1>0</formula1>
      <formula2>1000000</formula2>
    </dataValidation>
    <dataValidation type="whole" allowBlank="1" showInputMessage="1" showErrorMessage="1" errorTitle="超出范围" error="曝光延迟的范围是0-5000us" sqref="D46">
      <formula1>0</formula1>
      <formula2>5000</formula2>
    </dataValidation>
    <dataValidation type="whole" allowBlank="1" showInputMessage="1" showErrorMessage="1" errorTitle="输入数值非法" error="最小值4，最大值D12" sqref="D47">
      <formula1>0</formula1>
      <formula2>(D58*D79+P42+P48+P52)*J39/1000+1</formula2>
    </dataValidation>
    <dataValidation type="whole" allowBlank="1" showInputMessage="1" showErrorMessage="1" errorTitle="超出范围" error="曝光时间的范围是14us-1s" sqref="D45">
      <formula1>1</formula1>
      <formula2>1000000</formula2>
    </dataValidation>
    <dataValidation type="list" allowBlank="1" showInputMessage="1" showErrorMessage="1" errorTitle="超出范围" error="曝光时间的范围是14us-1s" sqref="D44">
      <formula1>"Standard,Ultrashort"</formula1>
    </dataValidation>
    <dataValidation type="list" allowBlank="1" showInputMessage="1" showErrorMessage="1" errorTitle="超出范围" error="曝光时间的范围是14us-1s" sqref="D43">
      <formula1>"Timed,TriggerWidth"</formula1>
    </dataValidation>
    <dataValidation type="list" allowBlank="1" showInputMessage="1" showErrorMessage="1" sqref="E37">
      <formula1>"彩色,黑白"</formula1>
    </dataValidation>
    <dataValidation type="list" allowBlank="1" showInputMessage="1" showErrorMessage="1" sqref="D37">
      <formula1>"BPP8,BPP10,BPP12,AD10_GC8"</formula1>
    </dataValidation>
    <dataValidation type="whole" allowBlank="1" showInputMessage="1" showErrorMessage="1" errorTitle="输入数值非法" error="最小值2，最大值D13" sqref="D58">
      <formula1>2</formula1>
      <formula2>C58</formula2>
    </dataValidation>
    <dataValidation type="list" allowBlank="1" showInputMessage="1" showErrorMessage="1" sqref="C37">
      <formula1>$AQ$38:$AQ$41</formula1>
    </dataValidation>
    <dataValidation type="list" allowBlank="1" showInputMessage="1" showErrorMessage="1" sqref="C36">
      <formula1>$S$38:$S$52</formula1>
    </dataValidation>
    <dataValidation type="custom" allowBlank="1" showInputMessage="1" showErrorMessage="1" error="输入范围是512~8192，步长为4" sqref="B18 C27">
      <formula1>AND((B18&lt;=8192),(B18&gt;=512),(MOD(B18,4)=0))</formula1>
    </dataValidation>
    <dataValidation type="whole" allowBlank="1" showInputMessage="1" showErrorMessage="1" error="设置值范围为0~包间隔最大值" sqref="B16">
      <formula1>0</formula1>
      <formula2>B17</formula2>
    </dataValidation>
    <dataValidation type="whole" allowBlank="1" showInputMessage="1" showErrorMessage="1" error="设置范围为0~预留带宽最大值" sqref="B14">
      <formula1>0</formula1>
      <formula2>B15</formula2>
    </dataValidation>
    <dataValidation type="whole" allowBlank="1" showInputMessage="1" showErrorMessage="1" error="输入范围是[0,5000]，单位为us" sqref="B19">
      <formula1>0</formula1>
      <formula2>5000</formula2>
    </dataValidation>
    <dataValidation type="custom" allowBlank="1" showInputMessage="1" showErrorMessage="1" error="设置值范围0.1~10000.0，精确到一位小数" sqref="B13">
      <formula1>AND(TRUNC(B13,1)=B13,(B13&gt;=0.1),(B13&lt;=10000))</formula1>
    </dataValidation>
    <dataValidation type="list" allowBlank="1" showInputMessage="1" showErrorMessage="1" errorTitle="超出范围" error="请输入0或者1" sqref="B12 B20">
      <formula1>"0,1"</formula1>
    </dataValidation>
    <dataValidation type="custom" allowBlank="1" showInputMessage="1" showErrorMessage="1" error="请输入10000或者1000" sqref="B11">
      <formula1>OR((B11=10000),(B11=1000))</formula1>
    </dataValidation>
    <dataValidation type="custom" allowBlank="1" showInputMessage="1" showErrorMessage="1" error="输入参数值为1或者2，并且当垂直像素抽样不为1时不能输入" sqref="B7">
      <formula1>OR((B7=1),(B7=2))</formula1>
    </dataValidation>
    <dataValidation type="custom" allowBlank="1" showInputMessage="1" showErrorMessage="1" error="输入参数值为1或者2，并且当水平像素抽样不为1时不能输入" sqref="B6">
      <formula1>OR((B6=1),(B6=2))</formula1>
    </dataValidation>
    <dataValidation type="list" allowBlank="1" showInputMessage="1" showErrorMessage="1" sqref="B10">
      <formula1>"BPP8,BPP10,BPP12"</formula1>
    </dataValidation>
    <dataValidation type="custom" allowBlank="1" showInputMessage="1" showErrorMessage="1" errorTitle="输入数值非法" error="输入范围是16~图像宽度最大值，步长为16" sqref="B4">
      <formula1>AND((B4&lt;=B2),(B4&gt;=4),(MOD(B4,4)=0))</formula1>
    </dataValidation>
    <dataValidation type="list" allowBlank="1" showInputMessage="1" showErrorMessage="1" sqref="J73">
      <formula1>"1,2,4,8"</formula1>
    </dataValidation>
    <dataValidation type="whole" allowBlank="1" showInputMessage="1" showErrorMessage="1" errorTitle="超出范围" error="曝光时间的范围是9us-1s" sqref="B8">
      <formula1>9</formula1>
      <formula2>1000000</formula2>
    </dataValidation>
    <dataValidation type="decimal" allowBlank="1" showInputMessage="1" showErrorMessage="1" sqref="D70">
      <formula1>0.1</formula1>
      <formula2>10000</formula2>
    </dataValidation>
    <dataValidation type="list" allowBlank="1" showInputMessage="1" showErrorMessage="1" sqref="B9 D41">
      <formula1>"8,10,12,RGB8,packed12"</formula1>
    </dataValidation>
    <dataValidation type="custom" allowBlank="1" showInputMessage="1" showErrorMessage="1" errorTitle="输入数值非法" error="输入范围是2~图像高度最大值，步长为2" sqref="B5">
      <formula1>AND((B5&lt;=B3),(B5&gt;=2),(MOD(B5,2)=0))</formula1>
    </dataValidation>
    <dataValidation type="list" allowBlank="1" showInputMessage="1" showErrorMessage="1" sqref="B1">
      <formula1>"MARS-280-409GTC,MARS-280-409GTM"</formula1>
    </dataValidation>
    <dataValidation type="list" allowBlank="1" showInputMessage="1" showErrorMessage="1" sqref="D64">
      <formula1>"1000,10000"</formula1>
    </dataValidation>
  </dataValidations>
  <pageMargins left="0.7" right="0.7" top="0.75" bottom="0.75" header="0.3" footer="0.3"/>
  <drawing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48"/>
  <sheetViews>
    <sheetView workbookViewId="0">
      <selection activeCell="A24" sqref="A24:XFD106"/>
    </sheetView>
  </sheetViews>
  <sheetFormatPr defaultColWidth="9" defaultRowHeight="14.25"/>
  <cols>
    <col min="1" max="1" width="28.625" style="1" customWidth="1"/>
    <col min="2" max="2" width="45.875" style="1" customWidth="1"/>
    <col min="3" max="3" width="31.875" style="1" customWidth="1"/>
    <col min="4" max="4" width="11.625" style="1" customWidth="1"/>
    <col min="5" max="5" width="6.75" style="1" customWidth="1"/>
    <col min="6" max="6" width="4.5" style="1" customWidth="1"/>
    <col min="7" max="7" width="17.75" style="1" customWidth="1"/>
    <col min="8" max="8" width="15.75" style="1" customWidth="1"/>
    <col min="9" max="9" width="57.375" style="1" customWidth="1"/>
    <col min="10" max="10" width="18.25" style="1" customWidth="1"/>
    <col min="11" max="12" width="4.5" style="1" customWidth="1"/>
    <col min="13" max="13" width="25.625" style="1" customWidth="1"/>
    <col min="14" max="14" width="35.125" style="1" customWidth="1"/>
    <col min="15" max="15" width="43.5" style="1" customWidth="1"/>
    <col min="16" max="16" width="12.875" style="1" customWidth="1"/>
    <col min="17" max="17" width="6.375" style="1" customWidth="1"/>
    <col min="18" max="18" width="4.875" style="1" customWidth="1"/>
    <col min="19" max="19" width="26.5" style="1" customWidth="1"/>
    <col min="20" max="20" width="13.125" style="1" customWidth="1"/>
    <col min="21" max="21" width="20.625" style="1" customWidth="1"/>
    <col min="22" max="22" width="23.375" style="1" customWidth="1"/>
    <col min="23" max="23" width="14.125" style="1" customWidth="1"/>
    <col min="24" max="24" width="18.875" style="1" customWidth="1"/>
    <col min="25" max="25" width="12" style="1" customWidth="1"/>
    <col min="26" max="26" width="14" style="1" customWidth="1"/>
    <col min="27" max="27" width="17" style="1" customWidth="1"/>
    <col min="28" max="28" width="20.375" style="1" customWidth="1"/>
    <col min="29" max="29" width="21" style="1" customWidth="1"/>
    <col min="30" max="30" width="20.25" style="1" customWidth="1"/>
    <col min="31" max="31" width="24.125" style="1" customWidth="1"/>
    <col min="32" max="32" width="11.625" style="1" customWidth="1"/>
    <col min="33" max="34" width="21.625" style="1" customWidth="1"/>
    <col min="35" max="35" width="17.25" style="1" customWidth="1"/>
    <col min="36" max="37" width="21.625" style="1" customWidth="1"/>
    <col min="38" max="38" width="19.375" style="1" customWidth="1"/>
    <col min="39" max="42" width="20.25" style="1" customWidth="1"/>
    <col min="43" max="44" width="23" style="1" customWidth="1"/>
    <col min="45" max="45" width="18.375" style="1" customWidth="1"/>
    <col min="46" max="47" width="20.375" style="1" customWidth="1"/>
    <col min="48" max="16384" width="9" style="1"/>
  </cols>
  <sheetData>
    <row r="1" spans="1:47" s="403" customFormat="1">
      <c r="A1" s="1087"/>
      <c r="B1" s="92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row>
    <row r="2" spans="1:47" s="403" customFormat="1" ht="27">
      <c r="A2" s="1087" t="s">
        <v>1596</v>
      </c>
      <c r="B2" s="1088" t="s">
        <v>1597</v>
      </c>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row>
    <row r="3" spans="1:47" s="403" customFormat="1">
      <c r="A3" s="1089" t="s">
        <v>17</v>
      </c>
      <c r="B3" s="1090">
        <f>IF(C31=1,C29,C27)</f>
        <v>1600</v>
      </c>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47" s="403" customFormat="1">
      <c r="A4" s="1089" t="s">
        <v>18</v>
      </c>
      <c r="B4" s="1090">
        <f>IF(C32=1,C30,C28)</f>
        <v>1104</v>
      </c>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row>
    <row r="5" spans="1:47" s="403" customFormat="1">
      <c r="A5" s="1087" t="s">
        <v>19</v>
      </c>
      <c r="B5" s="1088">
        <v>1600</v>
      </c>
      <c r="D5" s="1091" t="str">
        <f>IF(OR(B5&gt;B3,B5&lt;4),I26,"")</f>
        <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47" s="403" customFormat="1">
      <c r="A6" s="1087" t="s">
        <v>20</v>
      </c>
      <c r="B6" s="1088">
        <v>1104</v>
      </c>
      <c r="D6" s="1091" t="str">
        <f>IF(OR(B6&gt;B4,B6&lt;2),I27,"")</f>
        <v/>
      </c>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47" s="403" customFormat="1">
      <c r="A7" s="1087" t="s">
        <v>21</v>
      </c>
      <c r="B7" s="1092">
        <v>1</v>
      </c>
      <c r="D7" s="109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47" s="403" customFormat="1">
      <c r="A8" s="1087" t="s">
        <v>22</v>
      </c>
      <c r="B8" s="1092">
        <v>1</v>
      </c>
      <c r="D8" s="109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47" s="403" customFormat="1">
      <c r="A9" s="1087" t="s">
        <v>25</v>
      </c>
      <c r="B9" s="1088">
        <v>10000</v>
      </c>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47" s="403" customFormat="1" ht="27">
      <c r="A10" s="1087" t="s">
        <v>1577</v>
      </c>
      <c r="B10" s="1088">
        <v>8</v>
      </c>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47" s="403" customFormat="1">
      <c r="A11" s="1087" t="s">
        <v>1578</v>
      </c>
      <c r="B11" s="1088" t="s">
        <v>1579</v>
      </c>
      <c r="D11" s="1093" t="str">
        <f>IF(OR(B10=8,B10="RGB8"),IF(AND(B11&lt;&gt;"BPP8",B11&lt;&gt;"BPP10",B11&lt;&gt;"BPP12"),"只能设置为BPP8,BPP10,BPP12",""),IF(OR(B10=10),IF(B11&lt;&gt;"BPP10","只能设置为BPP10",""),IF(OR(B10=12,B10="packed12"),IF(B11&lt;&gt;"BPP12","只能设置为BPP12",""),"")))</f>
        <v/>
      </c>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47" s="403" customFormat="1">
      <c r="A12" s="1087" t="s">
        <v>27</v>
      </c>
      <c r="B12" s="1088">
        <v>10000</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47" s="403" customFormat="1">
      <c r="A13" s="1087" t="s">
        <v>28</v>
      </c>
      <c r="B13" s="1088">
        <v>0</v>
      </c>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47" s="403" customFormat="1">
      <c r="A14" s="1087" t="s">
        <v>29</v>
      </c>
      <c r="B14" s="1088">
        <v>408</v>
      </c>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47" s="403" customFormat="1">
      <c r="A15" s="1087" t="s">
        <v>30</v>
      </c>
      <c r="B15" s="1088">
        <v>2</v>
      </c>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47" s="403" customFormat="1">
      <c r="A16" s="1087" t="s">
        <v>31</v>
      </c>
      <c r="B16" s="1094">
        <f>J60</f>
        <v>8104654</v>
      </c>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1:47" s="403" customFormat="1">
      <c r="A17" s="1087" t="s">
        <v>32</v>
      </c>
      <c r="B17" s="1088">
        <v>0</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1:47" s="403" customFormat="1">
      <c r="A18" s="1087" t="s">
        <v>33</v>
      </c>
      <c r="B18" s="1094">
        <f>J62</f>
        <v>99</v>
      </c>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1:47" s="403" customFormat="1">
      <c r="A19" s="1087" t="s">
        <v>34</v>
      </c>
      <c r="B19" s="1088">
        <v>1500</v>
      </c>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1:47" s="403" customFormat="1">
      <c r="A20" s="1095" t="s">
        <v>35</v>
      </c>
      <c r="B20" s="1096">
        <v>0</v>
      </c>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1:47" s="403" customFormat="1">
      <c r="A21" s="1087" t="s">
        <v>36</v>
      </c>
      <c r="B21" s="1088">
        <v>0</v>
      </c>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1:47" s="403" customFormat="1">
      <c r="A22" s="1097"/>
      <c r="B22" s="1098"/>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1:47" s="403" customFormat="1">
      <c r="A23" s="1097" t="s">
        <v>37</v>
      </c>
      <c r="B23" s="1099">
        <f>J40</f>
        <v>98.570724494825043</v>
      </c>
      <c r="D23" s="1091" t="str">
        <f>IF(I32,I28,"")</f>
        <v/>
      </c>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1:47" s="403" customFormat="1" hidden="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1:47" s="403" customFormat="1" hidden="1">
      <c r="I25" s="1100" t="s">
        <v>400</v>
      </c>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1:47" s="403" customFormat="1" hidden="1">
      <c r="I26" s="1100" t="s">
        <v>1598</v>
      </c>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1:47" s="403" customFormat="1" hidden="1">
      <c r="A27" s="1358" t="s">
        <v>40</v>
      </c>
      <c r="B27" s="1359"/>
      <c r="C27" s="921">
        <v>800</v>
      </c>
      <c r="I27" s="1100" t="s">
        <v>402</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1:47" s="403" customFormat="1" hidden="1">
      <c r="A28" s="1358" t="s">
        <v>42</v>
      </c>
      <c r="B28" s="1359"/>
      <c r="C28" s="921">
        <v>552</v>
      </c>
      <c r="I28" s="1100" t="s">
        <v>403</v>
      </c>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1:47" s="403" customFormat="1" hidden="1">
      <c r="A29" s="1358" t="s">
        <v>44</v>
      </c>
      <c r="B29" s="1359"/>
      <c r="C29" s="921">
        <v>1600</v>
      </c>
      <c r="I29" s="110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1:47" s="403" customFormat="1" hidden="1">
      <c r="A30" s="1358" t="s">
        <v>45</v>
      </c>
      <c r="B30" s="1359"/>
      <c r="C30" s="921">
        <v>1104</v>
      </c>
      <c r="I30" s="110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1:47" s="403" customFormat="1" hidden="1">
      <c r="A31" s="1358" t="s">
        <v>46</v>
      </c>
      <c r="B31" s="1359"/>
      <c r="C31" s="921">
        <f>B7</f>
        <v>1</v>
      </c>
      <c r="I31" s="1100" t="s">
        <v>404</v>
      </c>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1:47" s="403" customFormat="1" hidden="1">
      <c r="A32" s="1358" t="s">
        <v>48</v>
      </c>
      <c r="B32" s="1359"/>
      <c r="C32" s="921">
        <f>B8</f>
        <v>1</v>
      </c>
      <c r="I32" s="1100">
        <f>IF(OR(OR(B5&gt;B3,B5&lt;4),OR(B6&gt;B4,B6&lt;2)),1,0)</f>
        <v>0</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1:47" s="403" customFormat="1" hidden="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1:47" ht="15" hidden="1" thickBot="1"/>
    <row r="35" spans="1:47" ht="15" hidden="1" thickBot="1">
      <c r="A35" s="5" t="s">
        <v>49</v>
      </c>
      <c r="B35" s="5" t="s">
        <v>50</v>
      </c>
      <c r="C35" s="6" t="s">
        <v>1587</v>
      </c>
      <c r="D35" s="6" t="s">
        <v>609</v>
      </c>
      <c r="E35" s="6" t="s">
        <v>1582</v>
      </c>
      <c r="F35" s="7"/>
      <c r="G35" s="1353" t="s">
        <v>52</v>
      </c>
      <c r="H35" s="1354"/>
      <c r="I35" s="1354"/>
      <c r="J35" s="1354"/>
      <c r="K35" s="1355"/>
      <c r="L35" s="63"/>
      <c r="M35" s="1353" t="s">
        <v>53</v>
      </c>
      <c r="N35" s="1354"/>
      <c r="O35" s="1354"/>
      <c r="P35" s="1354"/>
      <c r="Q35" s="1355"/>
      <c r="R35" s="63"/>
      <c r="S35" s="1356" t="s">
        <v>54</v>
      </c>
      <c r="T35" s="1357"/>
      <c r="U35" s="1357"/>
      <c r="V35" s="1357"/>
      <c r="W35" s="1357"/>
      <c r="X35" s="1357"/>
      <c r="Y35" s="1357"/>
      <c r="Z35" s="1357"/>
      <c r="AA35" s="1357"/>
      <c r="AB35" s="1357"/>
      <c r="AC35" s="1357"/>
      <c r="AD35" s="1357"/>
      <c r="AE35" s="1357"/>
      <c r="AF35" s="1357"/>
      <c r="AG35" s="1357"/>
      <c r="AH35" s="1357"/>
      <c r="AI35" s="1357"/>
      <c r="AJ35" s="1357"/>
      <c r="AK35" s="1357"/>
      <c r="AL35" s="1357"/>
      <c r="AM35" s="1357"/>
      <c r="AN35" s="1357"/>
      <c r="AO35" s="1357"/>
      <c r="AP35" s="1357"/>
      <c r="AQ35" s="1357"/>
      <c r="AR35" s="1357"/>
      <c r="AS35" s="1357"/>
      <c r="AT35" s="1357"/>
      <c r="AU35" s="1357"/>
    </row>
    <row r="36" spans="1:47" ht="29.25" hidden="1" thickBot="1">
      <c r="A36" s="5" t="s">
        <v>55</v>
      </c>
      <c r="B36" s="5" t="s">
        <v>56</v>
      </c>
      <c r="C36" s="6" t="s">
        <v>57</v>
      </c>
      <c r="D36" s="6" t="str">
        <f>B11</f>
        <v>BPP12</v>
      </c>
      <c r="E36" s="6" t="s">
        <v>1583</v>
      </c>
      <c r="F36" s="7"/>
      <c r="G36" s="1347" t="s">
        <v>58</v>
      </c>
      <c r="H36" s="1348"/>
      <c r="I36" s="1348"/>
      <c r="J36" s="1348"/>
      <c r="K36" s="1349"/>
      <c r="L36" s="63"/>
      <c r="M36" s="1347" t="s">
        <v>59</v>
      </c>
      <c r="N36" s="1348"/>
      <c r="O36" s="1348"/>
      <c r="P36" s="1348"/>
      <c r="Q36" s="1349"/>
      <c r="R36" s="63"/>
      <c r="S36" s="1101" t="s">
        <v>60</v>
      </c>
      <c r="T36" s="1102" t="s">
        <v>61</v>
      </c>
      <c r="U36" s="1102" t="s">
        <v>610</v>
      </c>
      <c r="V36" s="1102" t="s">
        <v>611</v>
      </c>
      <c r="W36" s="1102" t="s">
        <v>64</v>
      </c>
      <c r="X36" s="1102" t="s">
        <v>65</v>
      </c>
      <c r="Y36" s="1102" t="s">
        <v>66</v>
      </c>
      <c r="Z36" s="1102" t="s">
        <v>67</v>
      </c>
      <c r="AA36" s="1102" t="s">
        <v>68</v>
      </c>
      <c r="AB36" s="1102" t="s">
        <v>69</v>
      </c>
      <c r="AC36" s="1102" t="s">
        <v>70</v>
      </c>
      <c r="AD36" s="1102" t="s">
        <v>71</v>
      </c>
      <c r="AE36" s="1102" t="s">
        <v>612</v>
      </c>
      <c r="AF36" s="1102" t="s">
        <v>613</v>
      </c>
      <c r="AG36" s="1102" t="s">
        <v>614</v>
      </c>
      <c r="AH36" s="1102" t="s">
        <v>615</v>
      </c>
      <c r="AI36" s="1102" t="s">
        <v>616</v>
      </c>
      <c r="AJ36" s="1103" t="s">
        <v>617</v>
      </c>
      <c r="AK36" s="1102" t="s">
        <v>618</v>
      </c>
      <c r="AL36" s="1102" t="s">
        <v>619</v>
      </c>
      <c r="AM36" s="1102" t="s">
        <v>620</v>
      </c>
      <c r="AN36" s="1102" t="s">
        <v>621</v>
      </c>
      <c r="AO36" s="1104" t="s">
        <v>622</v>
      </c>
      <c r="AP36" s="1102" t="s">
        <v>623</v>
      </c>
      <c r="AQ36" s="1102" t="s">
        <v>624</v>
      </c>
      <c r="AR36" s="1105" t="s">
        <v>625</v>
      </c>
      <c r="AS36" s="1106" t="s">
        <v>626</v>
      </c>
      <c r="AT36" s="1106" t="s">
        <v>1584</v>
      </c>
      <c r="AU36" s="1106" t="s">
        <v>1585</v>
      </c>
    </row>
    <row r="37" spans="1:47" ht="29.25" hidden="1" thickBot="1">
      <c r="A37" s="1353" t="s">
        <v>90</v>
      </c>
      <c r="B37" s="1354"/>
      <c r="C37" s="1354"/>
      <c r="D37" s="1354"/>
      <c r="E37" s="1355"/>
      <c r="F37" s="7"/>
      <c r="G37" s="1107" t="s">
        <v>91</v>
      </c>
      <c r="H37" s="1108" t="s">
        <v>92</v>
      </c>
      <c r="I37" s="1108" t="s">
        <v>93</v>
      </c>
      <c r="J37" s="1108" t="s">
        <v>94</v>
      </c>
      <c r="K37" s="66" t="s">
        <v>95</v>
      </c>
      <c r="L37" s="63"/>
      <c r="M37" s="1109" t="s">
        <v>91</v>
      </c>
      <c r="N37" s="1110" t="s">
        <v>92</v>
      </c>
      <c r="O37" s="1110" t="s">
        <v>93</v>
      </c>
      <c r="P37" s="1110" t="s">
        <v>96</v>
      </c>
      <c r="Q37" s="116" t="s">
        <v>95</v>
      </c>
      <c r="R37" s="63"/>
      <c r="S37" s="117" t="s">
        <v>1581</v>
      </c>
      <c r="T37" s="118" t="s">
        <v>1586</v>
      </c>
      <c r="U37" s="118">
        <v>54000</v>
      </c>
      <c r="V37" s="119">
        <v>240</v>
      </c>
      <c r="W37" s="142">
        <v>1</v>
      </c>
      <c r="X37" s="119">
        <v>8</v>
      </c>
      <c r="Y37" s="142">
        <f>IF(OR(D74=2,D71=2),0,0)</f>
        <v>0</v>
      </c>
      <c r="Z37" s="142">
        <f>IF(OR(D75=2,D72=2),4,4)</f>
        <v>4</v>
      </c>
      <c r="AA37" s="118">
        <f>IF(OR(D71=2,D74=2),960,1936)</f>
        <v>1936</v>
      </c>
      <c r="AB37" s="118">
        <v>8</v>
      </c>
      <c r="AC37" s="118">
        <f>IF(OR(D71=2,D74=2),960,1936)</f>
        <v>1936</v>
      </c>
      <c r="AD37" s="118">
        <f>IF(OR(D72=2,D75=2),728,1464)</f>
        <v>1464</v>
      </c>
      <c r="AE37" s="159">
        <f>IF(OR(D77=2,D78=2),IF(D36="BPP8",IF(D40=8,85,95),IF(D36="BPP10",IF(D40=8,94,IF(D40=10,94,95)),IF(D40=8,152,IF(D40="RGB8",152,152)))),IF(OR(D74=2,D75=2),IF(D36="BPP8",85,IF(D36="BPP10",IF(D40=8,94,94),IF(D40=8,152,152))),IF(D36="BPP8",IF(D40=8,85,191),IF(D36="BPP10",IF(D40=8,94,IF(D40=10,127,191)),IF(D40=8,152,IF(D40="RGB8",191,152))))))</f>
        <v>152</v>
      </c>
      <c r="AF37" s="159">
        <f>IF(D36="BPP10",40,92)</f>
        <v>92</v>
      </c>
      <c r="AG37" s="158">
        <v>34</v>
      </c>
      <c r="AH37" s="158">
        <v>4997</v>
      </c>
      <c r="AI37" s="158">
        <v>44</v>
      </c>
      <c r="AJ37" s="160" t="s">
        <v>628</v>
      </c>
      <c r="AK37" s="119">
        <v>1000</v>
      </c>
      <c r="AL37" s="158">
        <f>IF(OR(D71=2,D74=2,D77=2),960,1936)</f>
        <v>1936</v>
      </c>
      <c r="AM37" s="158">
        <f>IF(OR(D72=2,D75=2,D78=2),728,1464)</f>
        <v>1464</v>
      </c>
      <c r="AN37" s="118">
        <v>408</v>
      </c>
      <c r="AO37" s="172">
        <v>156.25</v>
      </c>
      <c r="AP37" s="118">
        <f>IF(OR(D72=2,D75=2,D78=2),IF(D36="BPP10",4,16),IF(D36="BPP10",8,24))</f>
        <v>24</v>
      </c>
      <c r="AQ37" s="118" t="s">
        <v>57</v>
      </c>
      <c r="AR37" s="173">
        <v>0</v>
      </c>
      <c r="AS37" s="174">
        <v>20</v>
      </c>
      <c r="AT37" s="174">
        <v>16</v>
      </c>
      <c r="AU37" s="1111">
        <f>IF(OR(D77=2,D78=2),IF(D36="BPP8",IF(D40=8,116,130),IF(D36="BPP10",IF(D40="RGB8",130,128),IF(D40=8,208,208))),IF(OR(D74=2,D75=2),IF(D36="BPP8",116,IF(D36="BPP10",IF(D40=8,128,128),IF(D40=8,208,208))),IF(D36="BPP8",IF(D40=8,116,262),IF(D36="BPP10",IF(D40=8,128,IF(D40=10,174,262)),IF(D40=8,208,IF(D40="RGB8",262,208))))))</f>
        <v>208</v>
      </c>
    </row>
    <row r="38" spans="1:47" ht="29.25" hidden="1" thickBot="1">
      <c r="A38" s="1109" t="s">
        <v>91</v>
      </c>
      <c r="B38" s="1110" t="s">
        <v>92</v>
      </c>
      <c r="C38" s="1110" t="s">
        <v>101</v>
      </c>
      <c r="D38" s="1110" t="s">
        <v>102</v>
      </c>
      <c r="E38" s="1112" t="s">
        <v>95</v>
      </c>
      <c r="F38" s="7"/>
      <c r="G38" s="15" t="s">
        <v>103</v>
      </c>
      <c r="H38" s="16" t="s">
        <v>104</v>
      </c>
      <c r="I38" s="55" t="s">
        <v>629</v>
      </c>
      <c r="J38" s="1113">
        <f>IF(D43="Standard",ROUNDUP(1000000*P42/P39,0),ROUNDUP(1000000*P43/74250,0))</f>
        <v>1649</v>
      </c>
      <c r="K38" s="15" t="s">
        <v>106</v>
      </c>
      <c r="L38" s="63"/>
      <c r="M38" s="15" t="s">
        <v>107</v>
      </c>
      <c r="N38" s="16" t="s">
        <v>108</v>
      </c>
      <c r="O38" s="16" t="s">
        <v>109</v>
      </c>
      <c r="P38" s="1114">
        <f>VLOOKUP($C$35,$S$37:$AQ$54,4,FALSE)</f>
        <v>240</v>
      </c>
      <c r="Q38" s="121" t="s">
        <v>110</v>
      </c>
      <c r="R38" s="63"/>
      <c r="S38" s="122" t="s">
        <v>1587</v>
      </c>
      <c r="T38" s="118" t="s">
        <v>1588</v>
      </c>
      <c r="U38" s="118">
        <v>54000</v>
      </c>
      <c r="V38" s="119">
        <v>240</v>
      </c>
      <c r="W38" s="142">
        <v>1</v>
      </c>
      <c r="X38" s="119">
        <v>8</v>
      </c>
      <c r="Y38" s="143">
        <f>IF(OR(D74=2,D71=2),0,0)</f>
        <v>0</v>
      </c>
      <c r="Z38" s="143">
        <v>0</v>
      </c>
      <c r="AA38" s="72">
        <v>1600</v>
      </c>
      <c r="AB38" s="72">
        <v>8</v>
      </c>
      <c r="AC38" s="72">
        <v>1600</v>
      </c>
      <c r="AD38" s="72">
        <v>1104</v>
      </c>
      <c r="AE38" s="1115">
        <f>IF(OR(D77=2,D78=2),IF(D36="BPP8",IF(D40=8,63,79),IF(D36="BPP10",IF(D40="RGB8",79,75),IF(D36="BPP12",IF(D40=8,89,89),IF(D36="AD10_GC8",IF(D40=8,63,79))))),IF(D36="BPP8",IF(D40=8,63,158),IF(D36="BPP10",IF(D40=8,75,IF(D40=10,105,158)),IF(D36="BPP12",IF(D40=8,89,IF(D40=12,105,IF(D40="RGB8",158,89))),IF(D36="AD10_GC8",IF(D40=8,63,158))))))</f>
        <v>89</v>
      </c>
      <c r="AF38" s="159">
        <f>IF(D36="BPP10",49,200)</f>
        <v>200</v>
      </c>
      <c r="AG38" s="162">
        <f>IF(D36="BPP10",18,90)</f>
        <v>90</v>
      </c>
      <c r="AH38" s="162">
        <v>4997</v>
      </c>
      <c r="AI38" s="161">
        <v>104</v>
      </c>
      <c r="AJ38" s="160" t="s">
        <v>628</v>
      </c>
      <c r="AK38" s="163">
        <v>1000</v>
      </c>
      <c r="AL38" s="1115">
        <f>IF(D77=2,800,1600)</f>
        <v>1600</v>
      </c>
      <c r="AM38" s="1115">
        <f>IF(D78=2,552,1104)</f>
        <v>1104</v>
      </c>
      <c r="AN38" s="163">
        <v>636</v>
      </c>
      <c r="AO38" s="172">
        <v>156.25</v>
      </c>
      <c r="AP38" s="163">
        <v>8</v>
      </c>
      <c r="AQ38" s="118" t="s">
        <v>57</v>
      </c>
      <c r="AR38" s="175">
        <v>0</v>
      </c>
      <c r="AS38" s="176">
        <v>20</v>
      </c>
      <c r="AT38" s="176">
        <v>24</v>
      </c>
      <c r="AU38" s="1111">
        <f>IF(OR(D77=2,D78=2),IF(D36="BPP8",IF(D40=8,86,108),IF(D36="BPP10",IF(D40="RGB8",108,102),IF(D36="BPP12",IF(D40=8,122,122),IF(D36="AD10_GC8",IF(D40=8,86,108))))),IF(D36="BPP8",IF(D40=8,86,216),IF(D36="BPP10",IF(D40=8,102,IF(D40=10,144,216)),IF(D36="BPP12",IF(D40=8,122,IF(D40=12,144,IF(D40="RGB8",216,122))),IF(D36="AD10_GC8",IF(D40=8,86,216))))))</f>
        <v>122</v>
      </c>
    </row>
    <row r="39" spans="1:47" ht="214.5" hidden="1" thickBot="1">
      <c r="A39" s="1347" t="s">
        <v>113</v>
      </c>
      <c r="B39" s="1348"/>
      <c r="C39" s="1348"/>
      <c r="D39" s="1348"/>
      <c r="E39" s="1349"/>
      <c r="F39" s="7"/>
      <c r="G39" s="68" t="s">
        <v>114</v>
      </c>
      <c r="H39" s="30" t="s">
        <v>115</v>
      </c>
      <c r="I39" s="24" t="s">
        <v>632</v>
      </c>
      <c r="J39" s="1116">
        <f>IF(D43="Ultrashort",IF(D49=1,ROUNDUP(MAX(J42,J43,J44),0),ROUNDUP(MAX(J42,J43,J44,J45),0)),IF(D49=1,IF(D42="TriggerWidth",ROUNDUP(MAX(J42,J64,J44)*J38/1000,0),IF(D50=0,ROUNDUP(MAX(J42,J43,J44)*J38/1000,0),ROUNDUP(MAX(J42,J43,J44,J45)*J38/1000,0))),ROUNDUP(MAX(J42,J43,J44,J45)*J38/1000,0)))</f>
        <v>10145</v>
      </c>
      <c r="K39" s="68" t="s">
        <v>117</v>
      </c>
      <c r="M39" s="68" t="s">
        <v>633</v>
      </c>
      <c r="N39" s="30" t="s">
        <v>634</v>
      </c>
      <c r="O39" s="30" t="s">
        <v>635</v>
      </c>
      <c r="P39" s="1117">
        <f>VLOOKUP($C$35,$S$37:$AS$54,3,FALSE)</f>
        <v>54000</v>
      </c>
      <c r="Q39" s="121" t="s">
        <v>636</v>
      </c>
      <c r="S39" s="1118"/>
      <c r="T39" s="1118"/>
      <c r="U39" s="1118"/>
      <c r="V39" s="1118"/>
      <c r="W39" s="1118"/>
      <c r="X39" s="1118"/>
      <c r="Y39" s="1118"/>
      <c r="Z39" s="1118"/>
      <c r="AA39" s="1118"/>
      <c r="AB39" s="1118"/>
      <c r="AC39" s="1118"/>
      <c r="AD39" s="1118"/>
      <c r="AE39" s="1119"/>
      <c r="AF39" s="159"/>
      <c r="AG39" s="1120"/>
      <c r="AH39" s="1121"/>
      <c r="AI39" s="1122"/>
      <c r="AJ39" s="1118"/>
      <c r="AK39" s="1118"/>
      <c r="AL39" s="1118"/>
      <c r="AM39" s="1118"/>
      <c r="AN39" s="1118"/>
      <c r="AO39" s="1123"/>
      <c r="AP39" s="1118"/>
      <c r="AQ39" s="118"/>
      <c r="AR39" s="1124"/>
      <c r="AS39" s="32"/>
      <c r="AT39" s="32"/>
    </row>
    <row r="40" spans="1:47" ht="29.25" hidden="1" thickBot="1">
      <c r="A40" s="11" t="s">
        <v>121</v>
      </c>
      <c r="B40" s="12" t="s">
        <v>113</v>
      </c>
      <c r="C40" s="12">
        <v>8</v>
      </c>
      <c r="D40" s="1125">
        <f>B10</f>
        <v>8</v>
      </c>
      <c r="E40" s="14" t="s">
        <v>122</v>
      </c>
      <c r="F40" s="7"/>
      <c r="G40" s="20" t="s">
        <v>123</v>
      </c>
      <c r="H40" s="21" t="s">
        <v>58</v>
      </c>
      <c r="I40" s="28" t="s">
        <v>124</v>
      </c>
      <c r="J40" s="1126">
        <f>1000000/J39</f>
        <v>98.570724494825043</v>
      </c>
      <c r="K40" s="20" t="s">
        <v>125</v>
      </c>
      <c r="M40" s="68" t="s">
        <v>639</v>
      </c>
      <c r="N40" s="30" t="s">
        <v>640</v>
      </c>
      <c r="O40" s="30" t="s">
        <v>109</v>
      </c>
      <c r="P40" s="1117">
        <f>VLOOKUP($C$35,$S$37:$AS$54,7,FALSE)</f>
        <v>0</v>
      </c>
      <c r="Q40" s="125" t="s">
        <v>119</v>
      </c>
      <c r="S40" s="1118"/>
      <c r="T40" s="1118"/>
      <c r="U40" s="1118"/>
      <c r="V40" s="1118"/>
      <c r="W40" s="1118"/>
      <c r="X40" s="1118"/>
      <c r="Y40" s="1118"/>
      <c r="Z40" s="1118"/>
      <c r="AA40" s="1118"/>
      <c r="AB40" s="1118"/>
      <c r="AC40" s="1118"/>
      <c r="AD40" s="1118"/>
      <c r="AE40" s="1119"/>
      <c r="AF40" s="159"/>
      <c r="AG40" s="1120"/>
      <c r="AH40" s="1121"/>
      <c r="AI40" s="1122"/>
      <c r="AJ40" s="1118"/>
      <c r="AK40" s="1118"/>
      <c r="AL40" s="1118"/>
      <c r="AM40" s="1118"/>
      <c r="AN40" s="1118"/>
      <c r="AO40" s="1123"/>
      <c r="AP40" s="1118"/>
      <c r="AQ40" s="118"/>
      <c r="AR40" s="1124"/>
      <c r="AS40" s="32"/>
      <c r="AT40" s="32"/>
    </row>
    <row r="41" spans="1:47" ht="29.25" hidden="1" thickBot="1">
      <c r="A41" s="1347" t="s">
        <v>128</v>
      </c>
      <c r="B41" s="1348"/>
      <c r="C41" s="1348"/>
      <c r="D41" s="1348"/>
      <c r="E41" s="1349"/>
      <c r="F41" s="7"/>
      <c r="G41" s="1347" t="s">
        <v>129</v>
      </c>
      <c r="H41" s="1348"/>
      <c r="I41" s="1348"/>
      <c r="J41" s="1348"/>
      <c r="K41" s="1349"/>
      <c r="M41" s="68" t="s">
        <v>641</v>
      </c>
      <c r="N41" s="30" t="s">
        <v>640</v>
      </c>
      <c r="O41" s="30" t="s">
        <v>109</v>
      </c>
      <c r="P41" s="1117">
        <f>VLOOKUP($C$35,$S$37:$AS$54,8,FALSE)</f>
        <v>0</v>
      </c>
      <c r="Q41" s="125" t="s">
        <v>119</v>
      </c>
      <c r="S41" s="128"/>
      <c r="T41" s="128"/>
      <c r="U41" s="128"/>
      <c r="V41" s="128"/>
      <c r="W41" s="128"/>
      <c r="X41" s="128"/>
      <c r="Y41" s="128"/>
      <c r="Z41" s="128"/>
    </row>
    <row r="42" spans="1:47" ht="72" hidden="1" thickBot="1">
      <c r="A42" s="15" t="s">
        <v>132</v>
      </c>
      <c r="B42" s="16" t="s">
        <v>133</v>
      </c>
      <c r="C42" s="16" t="s">
        <v>134</v>
      </c>
      <c r="D42" s="17" t="s">
        <v>134</v>
      </c>
      <c r="E42" s="18"/>
      <c r="F42" s="7"/>
      <c r="G42" s="15" t="s">
        <v>135</v>
      </c>
      <c r="H42" s="16" t="s">
        <v>136</v>
      </c>
      <c r="I42" s="55" t="s">
        <v>642</v>
      </c>
      <c r="J42" s="1113">
        <f>IF(D43="Ultrashort",ROUNDUP((D57*D78+P44)*J38/1000,0)+10,D57*D78+P44)</f>
        <v>1304</v>
      </c>
      <c r="K42" s="71" t="str">
        <f>IF(D43="Ultrashort","us","line")</f>
        <v>line</v>
      </c>
      <c r="M42" s="68" t="s">
        <v>643</v>
      </c>
      <c r="N42" s="30" t="s">
        <v>644</v>
      </c>
      <c r="O42" s="30" t="s">
        <v>109</v>
      </c>
      <c r="P42" s="1117">
        <f>VLOOKUP($C$35,$S$37:$AS$54,13,FALSE)</f>
        <v>89</v>
      </c>
      <c r="Q42" s="125" t="s">
        <v>154</v>
      </c>
      <c r="S42" s="128"/>
      <c r="T42" s="128"/>
      <c r="U42" s="128"/>
      <c r="V42" s="128"/>
      <c r="W42" s="128"/>
      <c r="X42" s="128"/>
      <c r="Y42" s="128"/>
      <c r="Z42" s="128"/>
    </row>
    <row r="43" spans="1:47" ht="43.5" hidden="1" thickBot="1">
      <c r="A43" s="15" t="s">
        <v>479</v>
      </c>
      <c r="B43" s="16" t="s">
        <v>480</v>
      </c>
      <c r="C43" s="16" t="s">
        <v>481</v>
      </c>
      <c r="D43" s="17" t="s">
        <v>481</v>
      </c>
      <c r="E43" s="18"/>
      <c r="F43" s="7"/>
      <c r="G43" s="68" t="s">
        <v>142</v>
      </c>
      <c r="H43" s="30" t="s">
        <v>143</v>
      </c>
      <c r="I43" s="72" t="s">
        <v>645</v>
      </c>
      <c r="J43" s="1127">
        <f>IF(D43="Ultrashort",J68,J70+IF(D61=0,0,ROUNDUP(P49*1000/J38,0)))</f>
        <v>6152</v>
      </c>
      <c r="K43" s="71" t="str">
        <f>IF(D43="Ultrashort","us","line")</f>
        <v>line</v>
      </c>
      <c r="M43" s="68" t="s">
        <v>1589</v>
      </c>
      <c r="N43" s="30" t="s">
        <v>1590</v>
      </c>
      <c r="O43" s="30" t="s">
        <v>109</v>
      </c>
      <c r="P43" s="1117">
        <f>VLOOKUP($C$35,$S$37:$AU$54,29,FALSE)</f>
        <v>122</v>
      </c>
      <c r="Q43" s="125" t="s">
        <v>154</v>
      </c>
      <c r="S43" s="128"/>
      <c r="T43" s="128"/>
      <c r="U43" s="128"/>
      <c r="V43" s="128"/>
      <c r="W43" s="128"/>
      <c r="X43" s="128"/>
      <c r="Y43" s="128"/>
      <c r="Z43" s="128"/>
    </row>
    <row r="44" spans="1:47" ht="57.75" hidden="1" thickBot="1">
      <c r="A44" s="15" t="s">
        <v>141</v>
      </c>
      <c r="B44" s="16" t="s">
        <v>128</v>
      </c>
      <c r="C44" s="16">
        <f>VLOOKUP($C$35,$S$37:$AQ$54,19,FALSE)</f>
        <v>1000</v>
      </c>
      <c r="D44" s="1128">
        <f>B9</f>
        <v>10000</v>
      </c>
      <c r="E44" s="18" t="s">
        <v>117</v>
      </c>
      <c r="F44" s="7" t="str">
        <f>IF(D44&gt;P47,"0x"&amp;DEC2HEX(MAX(J42,J43,J44,J45)),"0x"&amp;DEC2HEX(MAX(J42,J43+1,J44,J45)))</f>
        <v>0x1808</v>
      </c>
      <c r="G44" s="68" t="s">
        <v>149</v>
      </c>
      <c r="H44" s="30" t="s">
        <v>150</v>
      </c>
      <c r="I44" s="72" t="s">
        <v>648</v>
      </c>
      <c r="J44" s="1127">
        <f>IF(D43="Ultrashort",ROUNDUP(((1000000/D69))*D68,0),ROUNDUP(((1000000000/D69)/J38)*D68,0))</f>
        <v>0</v>
      </c>
      <c r="K44" s="71" t="str">
        <f>IF(D43="Ultrashort","us","line")</f>
        <v>line</v>
      </c>
      <c r="M44" s="68" t="s">
        <v>646</v>
      </c>
      <c r="N44" s="30" t="s">
        <v>647</v>
      </c>
      <c r="O44" s="30" t="s">
        <v>109</v>
      </c>
      <c r="P44" s="1117">
        <f>VLOOKUP($C$35,$S$37:$AS$54,14,FALSE)</f>
        <v>200</v>
      </c>
      <c r="Q44" s="125" t="s">
        <v>140</v>
      </c>
      <c r="S44" s="128"/>
      <c r="T44" s="128"/>
      <c r="U44" s="128"/>
      <c r="V44" s="128"/>
      <c r="W44" s="128"/>
      <c r="X44" s="128"/>
      <c r="Y44" s="145"/>
      <c r="Z44" s="128"/>
    </row>
    <row r="45" spans="1:47" ht="57.75" hidden="1" thickBot="1">
      <c r="A45" s="20" t="s">
        <v>147</v>
      </c>
      <c r="B45" s="21" t="s">
        <v>148</v>
      </c>
      <c r="C45" s="16">
        <v>0</v>
      </c>
      <c r="D45" s="1129">
        <f>B20</f>
        <v>0</v>
      </c>
      <c r="E45" s="23" t="s">
        <v>117</v>
      </c>
      <c r="F45" s="7"/>
      <c r="G45" s="20" t="s">
        <v>156</v>
      </c>
      <c r="H45" s="28" t="s">
        <v>157</v>
      </c>
      <c r="I45" s="28" t="s">
        <v>158</v>
      </c>
      <c r="J45" s="1130">
        <f>IF(D43="Ultrashort",P82,ROUNDUP(P82*1000/J38,0))</f>
        <v>928</v>
      </c>
      <c r="K45" s="71" t="str">
        <f>IF(D43="Ultrashort","us","line")</f>
        <v>line</v>
      </c>
      <c r="M45" s="68" t="s">
        <v>491</v>
      </c>
      <c r="N45" s="30" t="s">
        <v>649</v>
      </c>
      <c r="O45" s="30" t="s">
        <v>109</v>
      </c>
      <c r="P45" s="1117">
        <f>VLOOKUP($C$35,$S$37:$AS$54,15,FALSE)</f>
        <v>90</v>
      </c>
      <c r="Q45" s="125" t="s">
        <v>140</v>
      </c>
      <c r="S45" s="128"/>
      <c r="T45" s="128"/>
      <c r="U45" s="128"/>
      <c r="V45" s="128"/>
      <c r="W45" s="128"/>
      <c r="X45" s="128"/>
      <c r="Y45" s="145"/>
      <c r="Z45" s="128"/>
    </row>
    <row r="46" spans="1:47" ht="57.75" hidden="1" thickBot="1">
      <c r="A46" s="24" t="s">
        <v>155</v>
      </c>
      <c r="B46" s="25" t="str">
        <f>"交叠曝光时间 
范围:0"&amp;"-"&amp;ROUNDUP(((J42-P45)*J38/1000),0)</f>
        <v>交叠曝光时间 
范围:0-2002</v>
      </c>
      <c r="C46" s="16">
        <f>ROUNDUP((J42-P45)*J38/1000,0)</f>
        <v>2002</v>
      </c>
      <c r="D46" s="1131">
        <v>500</v>
      </c>
      <c r="E46" s="23" t="s">
        <v>117</v>
      </c>
      <c r="F46" s="7"/>
      <c r="G46" s="1347" t="s">
        <v>164</v>
      </c>
      <c r="H46" s="1348"/>
      <c r="I46" s="1348"/>
      <c r="J46" s="1348"/>
      <c r="K46" s="1349"/>
      <c r="M46" s="68" t="s">
        <v>650</v>
      </c>
      <c r="N46" s="30" t="s">
        <v>651</v>
      </c>
      <c r="O46" s="30" t="s">
        <v>109</v>
      </c>
      <c r="P46" s="1117">
        <f>VLOOKUP($C$35,$S$37:$AS$54,16,FALSE)</f>
        <v>4997</v>
      </c>
      <c r="Q46" s="919" t="s">
        <v>106</v>
      </c>
      <c r="S46" s="128"/>
      <c r="T46" s="129"/>
      <c r="U46" s="128"/>
      <c r="V46" s="128"/>
      <c r="W46" s="128"/>
      <c r="X46" s="128"/>
      <c r="Y46" s="145"/>
      <c r="Z46" s="128"/>
    </row>
    <row r="47" spans="1:47" ht="72" hidden="1" thickBot="1">
      <c r="A47" s="26" t="s">
        <v>161</v>
      </c>
      <c r="B47" s="27" t="s">
        <v>162</v>
      </c>
      <c r="C47" s="28" t="s">
        <v>163</v>
      </c>
      <c r="D47" s="29">
        <v>0</v>
      </c>
      <c r="E47" s="23" t="s">
        <v>117</v>
      </c>
      <c r="F47" s="7"/>
      <c r="G47" s="75" t="s">
        <v>654</v>
      </c>
      <c r="H47" s="76" t="s">
        <v>655</v>
      </c>
      <c r="I47" s="76" t="s">
        <v>656</v>
      </c>
      <c r="J47" s="1113">
        <f>IF(D43="Ultrashort",IF(D44&gt;P46/1000,ROUNDUP((D44*1000-P46)/1000,0),1),MAX(ROUNDUP((D44*1000-P46)/J38,0),1))</f>
        <v>6062</v>
      </c>
      <c r="K47" s="71" t="str">
        <f>IF(D43="Ultrashort","us","line")</f>
        <v>line</v>
      </c>
      <c r="M47" s="68" t="s">
        <v>652</v>
      </c>
      <c r="N47" s="30" t="s">
        <v>653</v>
      </c>
      <c r="O47" s="21" t="s">
        <v>109</v>
      </c>
      <c r="P47" s="1117">
        <f>VLOOKUP($C$35,$S$37:$AS$54,27,FALSE)</f>
        <v>20</v>
      </c>
      <c r="Q47" s="125" t="s">
        <v>117</v>
      </c>
      <c r="S47" s="128"/>
      <c r="T47" s="128"/>
      <c r="U47" s="128"/>
      <c r="V47" s="128"/>
      <c r="W47" s="128"/>
      <c r="X47" s="128"/>
      <c r="Y47" s="145"/>
      <c r="Z47" s="128"/>
    </row>
    <row r="48" spans="1:47" ht="68.25" hidden="1" thickBot="1">
      <c r="A48" s="1350" t="s">
        <v>167</v>
      </c>
      <c r="B48" s="1351"/>
      <c r="C48" s="1351"/>
      <c r="D48" s="1351"/>
      <c r="E48" s="1352"/>
      <c r="F48" s="7"/>
      <c r="G48" s="75" t="s">
        <v>658</v>
      </c>
      <c r="H48" s="76" t="s">
        <v>659</v>
      </c>
      <c r="I48" s="76" t="s">
        <v>660</v>
      </c>
      <c r="J48" s="1116">
        <f>IF(AND(D44&gt;P46/1000,D44&lt;=P47),ROUNDUP((1000*D44-P46)/1000,0),0)</f>
        <v>0</v>
      </c>
      <c r="K48" s="77" t="str">
        <f>IF(OR(D43="Ultrashort",AND(D43="Standard",D44&lt;=P47)),"us","line")</f>
        <v>line</v>
      </c>
      <c r="M48" s="68" t="s">
        <v>657</v>
      </c>
      <c r="N48" s="30" t="s">
        <v>1591</v>
      </c>
      <c r="O48" s="21" t="s">
        <v>109</v>
      </c>
      <c r="P48" s="1117">
        <f>VLOOKUP($C$35,$S$37:$AS$54,17,FALSE)</f>
        <v>104</v>
      </c>
      <c r="Q48" s="125"/>
      <c r="S48" s="128"/>
      <c r="T48" s="128"/>
      <c r="U48" s="128"/>
      <c r="V48" s="128"/>
      <c r="W48" s="128"/>
      <c r="X48" s="128"/>
      <c r="Y48" s="145"/>
      <c r="Z48" s="128"/>
    </row>
    <row r="49" spans="1:26" ht="40.5" hidden="1">
      <c r="A49" s="30" t="s">
        <v>172</v>
      </c>
      <c r="B49" s="30" t="s">
        <v>167</v>
      </c>
      <c r="C49" s="30">
        <v>0</v>
      </c>
      <c r="D49" s="31">
        <f>B21</f>
        <v>0</v>
      </c>
      <c r="E49" s="32"/>
      <c r="F49" s="7"/>
      <c r="G49" s="78" t="s">
        <v>173</v>
      </c>
      <c r="H49" s="79" t="s">
        <v>661</v>
      </c>
      <c r="I49" s="79" t="s">
        <v>662</v>
      </c>
      <c r="J49" s="1116">
        <f>IF(D43="Ultrashort",D45,ROUNDUP((D45*1000)/J38,0))</f>
        <v>0</v>
      </c>
      <c r="K49" s="71" t="str">
        <f>IF(D43="Ultrashort","us","line")</f>
        <v>line</v>
      </c>
      <c r="M49" s="68" t="s">
        <v>176</v>
      </c>
      <c r="N49" s="30" t="s">
        <v>177</v>
      </c>
      <c r="O49" s="30" t="s">
        <v>109</v>
      </c>
      <c r="P49" s="1132">
        <f>VLOOKUP($C$35,$S$37:$AS$54,26,FALSE)</f>
        <v>0</v>
      </c>
      <c r="Q49" s="125" t="s">
        <v>117</v>
      </c>
      <c r="S49" s="128"/>
      <c r="T49" s="128"/>
      <c r="U49" s="128"/>
      <c r="V49" s="128"/>
      <c r="W49" s="128"/>
      <c r="X49" s="128"/>
      <c r="Y49" s="145"/>
      <c r="Z49" s="128"/>
    </row>
    <row r="50" spans="1:26" ht="95.25" hidden="1" thickBot="1">
      <c r="A50" s="11" t="s">
        <v>178</v>
      </c>
      <c r="B50" s="12" t="s">
        <v>179</v>
      </c>
      <c r="C50" s="12">
        <v>0</v>
      </c>
      <c r="D50" s="33">
        <v>0</v>
      </c>
      <c r="E50" s="14"/>
      <c r="F50" s="7"/>
      <c r="G50" s="78" t="s">
        <v>500</v>
      </c>
      <c r="H50" s="79" t="s">
        <v>663</v>
      </c>
      <c r="I50" s="79" t="s">
        <v>664</v>
      </c>
      <c r="J50" s="1133">
        <f>IF(D43="Ultrashort",200,IF((D44+4*J38/1000)&gt;100,(D44+4*J38/1000),100))</f>
        <v>10006.596</v>
      </c>
      <c r="K50" s="83" t="s">
        <v>117</v>
      </c>
      <c r="M50" s="11" t="s">
        <v>1592</v>
      </c>
      <c r="N50" s="12" t="s">
        <v>1593</v>
      </c>
      <c r="O50" s="30" t="s">
        <v>109</v>
      </c>
      <c r="P50" s="1134">
        <f>VLOOKUP($C$35,$S$37:$AT$54,28,FALSE)</f>
        <v>24</v>
      </c>
      <c r="Q50" s="121" t="s">
        <v>140</v>
      </c>
      <c r="S50" s="128"/>
      <c r="T50" s="128"/>
      <c r="U50" s="128"/>
      <c r="V50" s="128"/>
      <c r="W50" s="128"/>
      <c r="X50" s="128"/>
      <c r="Y50" s="145"/>
      <c r="Z50" s="128"/>
    </row>
    <row r="51" spans="1:26" ht="108.75" hidden="1" thickBot="1">
      <c r="A51" s="1343" t="s">
        <v>185</v>
      </c>
      <c r="B51" s="1344"/>
      <c r="C51" s="1344"/>
      <c r="D51" s="1344"/>
      <c r="E51" s="1345"/>
      <c r="F51" s="7"/>
      <c r="G51" s="78" t="s">
        <v>506</v>
      </c>
      <c r="H51" s="79" t="s">
        <v>665</v>
      </c>
      <c r="I51" s="79" t="s">
        <v>666</v>
      </c>
      <c r="J51" s="1133">
        <f>IF(D43="Ultrashort",ROUNDUP((D57*D78+11+P48)*J38/1000,0),D57*D78+11+P48)</f>
        <v>1219</v>
      </c>
      <c r="K51" s="71" t="str">
        <f>IF(D43="Ultrashort","us","line")</f>
        <v>line</v>
      </c>
      <c r="M51" s="80" t="s">
        <v>183</v>
      </c>
      <c r="N51" s="81" t="s">
        <v>184</v>
      </c>
      <c r="O51" s="81" t="s">
        <v>109</v>
      </c>
      <c r="P51" s="1117">
        <f>VLOOKUP($C$35,$S$37:$AS$54,24,FALSE)</f>
        <v>8</v>
      </c>
      <c r="Q51" s="121" t="s">
        <v>140</v>
      </c>
      <c r="S51" s="128"/>
      <c r="T51" s="128"/>
      <c r="U51" s="128"/>
      <c r="V51" s="128"/>
      <c r="W51" s="128"/>
      <c r="X51" s="128"/>
      <c r="Y51" s="146"/>
      <c r="Z51" s="146"/>
    </row>
    <row r="52" spans="1:26" ht="15" hidden="1" thickBot="1">
      <c r="A52" s="11" t="s">
        <v>190</v>
      </c>
      <c r="B52" s="12" t="s">
        <v>191</v>
      </c>
      <c r="C52" s="12">
        <v>0</v>
      </c>
      <c r="D52" s="1125">
        <v>0</v>
      </c>
      <c r="E52" s="14" t="s">
        <v>117</v>
      </c>
      <c r="F52" s="7"/>
      <c r="G52" s="1343" t="s">
        <v>192</v>
      </c>
      <c r="H52" s="1344"/>
      <c r="I52" s="1344"/>
      <c r="J52" s="1344"/>
      <c r="K52" s="1345"/>
      <c r="M52" s="1343" t="s">
        <v>189</v>
      </c>
      <c r="N52" s="1344"/>
      <c r="O52" s="1344"/>
      <c r="P52" s="1344"/>
      <c r="Q52" s="1345"/>
      <c r="S52" s="128"/>
      <c r="T52" s="128"/>
      <c r="U52" s="128"/>
      <c r="V52" s="128"/>
      <c r="W52" s="128"/>
      <c r="X52" s="128"/>
      <c r="Y52" s="146"/>
      <c r="Z52" s="146"/>
    </row>
    <row r="53" spans="1:26" ht="29.25" hidden="1" thickBot="1">
      <c r="A53" s="1343" t="s">
        <v>193</v>
      </c>
      <c r="B53" s="1344"/>
      <c r="C53" s="1344"/>
      <c r="D53" s="1344"/>
      <c r="E53" s="1135"/>
      <c r="F53" s="7"/>
      <c r="G53" s="54" t="s">
        <v>194</v>
      </c>
      <c r="H53" s="55" t="s">
        <v>195</v>
      </c>
      <c r="I53" s="55" t="s">
        <v>196</v>
      </c>
      <c r="J53" s="1136">
        <f>J40*P71</f>
        <v>174115327.74765897</v>
      </c>
      <c r="K53" s="85" t="s">
        <v>197</v>
      </c>
      <c r="M53" s="1109" t="s">
        <v>91</v>
      </c>
      <c r="N53" s="1110" t="s">
        <v>92</v>
      </c>
      <c r="O53" s="1110" t="s">
        <v>93</v>
      </c>
      <c r="P53" s="1110" t="s">
        <v>96</v>
      </c>
      <c r="Q53" s="116" t="s">
        <v>95</v>
      </c>
      <c r="S53" s="128"/>
      <c r="T53" s="128"/>
      <c r="U53" s="128"/>
      <c r="V53" s="128"/>
      <c r="W53" s="128"/>
      <c r="X53" s="128"/>
      <c r="Y53" s="146"/>
      <c r="Z53" s="146"/>
    </row>
    <row r="54" spans="1:26" ht="28.5" hidden="1">
      <c r="A54" s="15" t="s">
        <v>203</v>
      </c>
      <c r="B54" s="16" t="s">
        <v>202</v>
      </c>
      <c r="C54" s="16">
        <v>0</v>
      </c>
      <c r="D54" s="1128">
        <v>0</v>
      </c>
      <c r="E54" s="38" t="s">
        <v>119</v>
      </c>
      <c r="F54" s="7"/>
      <c r="G54" s="86" t="s">
        <v>204</v>
      </c>
      <c r="H54" s="87" t="s">
        <v>205</v>
      </c>
      <c r="I54" s="24" t="s">
        <v>206</v>
      </c>
      <c r="J54" s="1116">
        <f>J40*P78</f>
        <v>181491769.34450468</v>
      </c>
      <c r="K54" s="88" t="s">
        <v>197</v>
      </c>
      <c r="M54" s="15" t="s">
        <v>198</v>
      </c>
      <c r="N54" s="16" t="s">
        <v>199</v>
      </c>
      <c r="O54" s="16" t="s">
        <v>200</v>
      </c>
      <c r="P54" s="1114">
        <v>7</v>
      </c>
      <c r="Q54" s="121" t="s">
        <v>201</v>
      </c>
    </row>
    <row r="55" spans="1:26" ht="29.25" hidden="1" thickBot="1">
      <c r="A55" s="39" t="s">
        <v>211</v>
      </c>
      <c r="B55" s="24" t="s">
        <v>210</v>
      </c>
      <c r="C55" s="24">
        <v>0</v>
      </c>
      <c r="D55" s="1137">
        <v>0</v>
      </c>
      <c r="E55" s="41" t="s">
        <v>119</v>
      </c>
      <c r="F55" s="7"/>
      <c r="G55" s="89" t="s">
        <v>212</v>
      </c>
      <c r="H55" s="90" t="s">
        <v>213</v>
      </c>
      <c r="I55" s="28" t="s">
        <v>214</v>
      </c>
      <c r="J55" s="1133">
        <f>1250*D63*(100-D66)</f>
        <v>1225000000</v>
      </c>
      <c r="K55" s="91" t="s">
        <v>197</v>
      </c>
      <c r="M55" s="68" t="s">
        <v>207</v>
      </c>
      <c r="N55" s="30" t="s">
        <v>208</v>
      </c>
      <c r="O55" s="30" t="s">
        <v>209</v>
      </c>
      <c r="P55" s="1132">
        <v>1</v>
      </c>
      <c r="Q55" s="125" t="s">
        <v>201</v>
      </c>
      <c r="R55" s="63"/>
    </row>
    <row r="56" spans="1:26" ht="15" hidden="1" thickBot="1">
      <c r="A56" s="39" t="s">
        <v>19</v>
      </c>
      <c r="B56" s="24" t="s">
        <v>218</v>
      </c>
      <c r="C56" s="24">
        <f>VLOOKUP($C$35,$S$37:$AQ$54,20,FALSE)</f>
        <v>1600</v>
      </c>
      <c r="D56" s="1137">
        <f>B5</f>
        <v>1600</v>
      </c>
      <c r="E56" s="41" t="s">
        <v>119</v>
      </c>
      <c r="F56" s="7"/>
      <c r="G56" s="1138" t="s">
        <v>219</v>
      </c>
      <c r="H56" s="1139"/>
      <c r="I56" s="1139"/>
      <c r="J56" s="1139"/>
      <c r="K56" s="1135"/>
      <c r="M56" s="68" t="s">
        <v>215</v>
      </c>
      <c r="N56" s="30" t="s">
        <v>216</v>
      </c>
      <c r="O56" s="30" t="s">
        <v>217</v>
      </c>
      <c r="P56" s="1132">
        <v>14</v>
      </c>
      <c r="Q56" s="125" t="s">
        <v>201</v>
      </c>
      <c r="R56" s="63"/>
    </row>
    <row r="57" spans="1:26" ht="157.5" hidden="1" thickBot="1">
      <c r="A57" s="42" t="s">
        <v>20</v>
      </c>
      <c r="B57" s="28" t="s">
        <v>223</v>
      </c>
      <c r="C57" s="28">
        <f>VLOOKUP($C$35,$S$37:$AQ$54,21,FALSE)</f>
        <v>1104</v>
      </c>
      <c r="D57" s="1140">
        <f>B6</f>
        <v>1104</v>
      </c>
      <c r="E57" s="23" t="s">
        <v>119</v>
      </c>
      <c r="F57" s="7"/>
      <c r="G57" s="92" t="s">
        <v>224</v>
      </c>
      <c r="H57" s="93" t="s">
        <v>225</v>
      </c>
      <c r="I57" s="55" t="s">
        <v>226</v>
      </c>
      <c r="J57" s="1113">
        <f>IF(D63=10000,0,IF(D63=5000,1,IF(D63=2500,2,IF(D63=1000,3,3))))</f>
        <v>0</v>
      </c>
      <c r="K57" s="85" t="s">
        <v>163</v>
      </c>
      <c r="M57" s="68" t="s">
        <v>220</v>
      </c>
      <c r="N57" s="30" t="s">
        <v>221</v>
      </c>
      <c r="O57" s="30" t="s">
        <v>222</v>
      </c>
      <c r="P57" s="1132">
        <v>20</v>
      </c>
      <c r="Q57" s="125" t="s">
        <v>201</v>
      </c>
      <c r="R57" s="63"/>
    </row>
    <row r="58" spans="1:26" ht="43.5" hidden="1" thickBot="1">
      <c r="A58" s="1343" t="s">
        <v>230</v>
      </c>
      <c r="B58" s="1344"/>
      <c r="C58" s="1344"/>
      <c r="D58" s="1344"/>
      <c r="E58" s="1345"/>
      <c r="F58" s="7"/>
      <c r="G58" s="94" t="s">
        <v>231</v>
      </c>
      <c r="H58" s="95" t="s">
        <v>232</v>
      </c>
      <c r="I58" s="26" t="s">
        <v>233</v>
      </c>
      <c r="J58" s="1141">
        <f>ROUNDUP(D65*VLOOKUP($C$35,$S$37:$AQ$54,23,FALSE)/1000,0)</f>
        <v>0</v>
      </c>
      <c r="K58" s="97" t="s">
        <v>154</v>
      </c>
      <c r="M58" s="68" t="s">
        <v>227</v>
      </c>
      <c r="N58" s="30" t="s">
        <v>228</v>
      </c>
      <c r="O58" s="30" t="s">
        <v>229</v>
      </c>
      <c r="P58" s="1132">
        <v>8</v>
      </c>
      <c r="Q58" s="125" t="s">
        <v>201</v>
      </c>
    </row>
    <row r="59" spans="1:26" ht="15" hidden="1" thickBot="1">
      <c r="A59" s="44" t="s">
        <v>237</v>
      </c>
      <c r="B59" s="45" t="s">
        <v>236</v>
      </c>
      <c r="C59" s="46">
        <v>0</v>
      </c>
      <c r="D59" s="1142">
        <v>0</v>
      </c>
      <c r="E59" s="48" t="s">
        <v>122</v>
      </c>
      <c r="F59" s="7"/>
      <c r="G59" s="1138" t="s">
        <v>238</v>
      </c>
      <c r="H59" s="1139"/>
      <c r="I59" s="1139"/>
      <c r="J59" s="1139"/>
      <c r="K59" s="1135"/>
      <c r="M59" s="68" t="s">
        <v>234</v>
      </c>
      <c r="N59" s="30" t="s">
        <v>235</v>
      </c>
      <c r="O59" s="30" t="s">
        <v>229</v>
      </c>
      <c r="P59" s="1132">
        <v>8</v>
      </c>
      <c r="Q59" s="125" t="s">
        <v>201</v>
      </c>
    </row>
    <row r="60" spans="1:26" ht="43.5" hidden="1" thickBot="1">
      <c r="A60" s="1343" t="s">
        <v>242</v>
      </c>
      <c r="B60" s="1344"/>
      <c r="C60" s="1344"/>
      <c r="D60" s="1344"/>
      <c r="E60" s="1345"/>
      <c r="G60" s="98" t="s">
        <v>243</v>
      </c>
      <c r="H60" s="99" t="s">
        <v>244</v>
      </c>
      <c r="I60" s="100" t="s">
        <v>245</v>
      </c>
      <c r="J60" s="1143">
        <f>IF(ROUNDUP(P85*1000*8/D63,0)&gt;200000000,200000000,ROUNDUP(P85*1000*8/D63,0))</f>
        <v>8104654</v>
      </c>
      <c r="K60" s="102" t="s">
        <v>106</v>
      </c>
      <c r="M60" s="68" t="s">
        <v>239</v>
      </c>
      <c r="N60" s="30" t="s">
        <v>240</v>
      </c>
      <c r="O60" s="30" t="s">
        <v>241</v>
      </c>
      <c r="P60" s="1132">
        <v>4</v>
      </c>
      <c r="Q60" s="125" t="s">
        <v>201</v>
      </c>
      <c r="S60" s="1343" t="s">
        <v>255</v>
      </c>
      <c r="T60" s="1344"/>
      <c r="U60" s="1344"/>
      <c r="V60" s="1344"/>
      <c r="W60" s="1344"/>
      <c r="X60" s="1291"/>
    </row>
    <row r="61" spans="1:26" ht="29.25" hidden="1" thickBot="1">
      <c r="A61" s="49" t="s">
        <v>250</v>
      </c>
      <c r="B61" s="50" t="s">
        <v>249</v>
      </c>
      <c r="C61" s="51">
        <v>0</v>
      </c>
      <c r="D61" s="1144">
        <v>0</v>
      </c>
      <c r="E61" s="53" t="s">
        <v>122</v>
      </c>
      <c r="G61" s="1138" t="s">
        <v>251</v>
      </c>
      <c r="H61" s="1139"/>
      <c r="I61" s="1139"/>
      <c r="J61" s="1139"/>
      <c r="K61" s="1135"/>
      <c r="M61" s="68" t="s">
        <v>246</v>
      </c>
      <c r="N61" s="30" t="s">
        <v>247</v>
      </c>
      <c r="O61" s="30" t="s">
        <v>248</v>
      </c>
      <c r="P61" s="1132">
        <v>12</v>
      </c>
      <c r="Q61" s="125" t="s">
        <v>201</v>
      </c>
      <c r="S61" s="1109" t="s">
        <v>263</v>
      </c>
      <c r="T61" s="1110" t="s">
        <v>264</v>
      </c>
      <c r="U61" s="1110" t="s">
        <v>92</v>
      </c>
      <c r="V61" s="1110" t="s">
        <v>93</v>
      </c>
      <c r="W61" s="1145" t="s">
        <v>265</v>
      </c>
      <c r="X61" s="1112" t="s">
        <v>266</v>
      </c>
    </row>
    <row r="62" spans="1:26" ht="43.5" hidden="1" thickBot="1">
      <c r="A62" s="1343" t="s">
        <v>256</v>
      </c>
      <c r="B62" s="1344"/>
      <c r="C62" s="1344"/>
      <c r="D62" s="1344"/>
      <c r="E62" s="1345"/>
      <c r="G62" s="98" t="s">
        <v>257</v>
      </c>
      <c r="H62" s="99" t="s">
        <v>251</v>
      </c>
      <c r="I62" s="100" t="s">
        <v>258</v>
      </c>
      <c r="J62" s="1143">
        <f>IF((100-ROUNDDOWN(10*P80/(125000*D63),0)-1)&lt;0,0,(100-ROUNDDOWN(10*P80/(125000*D63),0)-1))</f>
        <v>99</v>
      </c>
      <c r="K62" s="102" t="s">
        <v>259</v>
      </c>
      <c r="M62" s="68" t="s">
        <v>252</v>
      </c>
      <c r="N62" s="24" t="s">
        <v>253</v>
      </c>
      <c r="O62" s="30" t="s">
        <v>254</v>
      </c>
      <c r="P62" s="1132">
        <f>P57+P58+P59</f>
        <v>36</v>
      </c>
      <c r="Q62" s="125" t="s">
        <v>201</v>
      </c>
      <c r="S62" s="132" t="s">
        <v>667</v>
      </c>
      <c r="T62" s="55" t="s">
        <v>668</v>
      </c>
      <c r="U62" s="133" t="s">
        <v>669</v>
      </c>
      <c r="V62" s="16" t="s">
        <v>543</v>
      </c>
      <c r="W62" s="148" t="str">
        <f>"0x"&amp;DEC2HEX(J42)</f>
        <v>0x518</v>
      </c>
      <c r="X62" s="1146"/>
    </row>
    <row r="63" spans="1:26" ht="29.25" hidden="1" thickBot="1">
      <c r="A63" s="54" t="s">
        <v>268</v>
      </c>
      <c r="B63" s="55" t="s">
        <v>267</v>
      </c>
      <c r="C63" s="56" t="s">
        <v>122</v>
      </c>
      <c r="D63" s="1147">
        <f>B12</f>
        <v>10000</v>
      </c>
      <c r="E63" s="18" t="s">
        <v>269</v>
      </c>
      <c r="G63" s="1138" t="s">
        <v>270</v>
      </c>
      <c r="H63" s="1139"/>
      <c r="I63" s="1139"/>
      <c r="J63" s="1139"/>
      <c r="K63" s="1135"/>
      <c r="M63" s="68" t="s">
        <v>260</v>
      </c>
      <c r="N63" s="24" t="s">
        <v>261</v>
      </c>
      <c r="O63" s="30" t="s">
        <v>262</v>
      </c>
      <c r="P63" s="1132">
        <f>P54+P55+P56+P60</f>
        <v>26</v>
      </c>
      <c r="Q63" s="125" t="s">
        <v>201</v>
      </c>
      <c r="S63" s="134" t="s">
        <v>522</v>
      </c>
      <c r="T63" s="55" t="s">
        <v>670</v>
      </c>
      <c r="U63" s="135" t="s">
        <v>524</v>
      </c>
      <c r="V63" s="30" t="s">
        <v>525</v>
      </c>
      <c r="W63" s="150" t="str">
        <f>"0x"&amp;DEC2HEX(IF(D43="Ultrashort",54,P42))</f>
        <v>0x59</v>
      </c>
      <c r="X63" s="1148" t="s">
        <v>671</v>
      </c>
    </row>
    <row r="64" spans="1:26" ht="57.75" hidden="1" thickBot="1">
      <c r="A64" s="39" t="s">
        <v>34</v>
      </c>
      <c r="B64" s="24" t="s">
        <v>276</v>
      </c>
      <c r="C64" s="58">
        <v>1500</v>
      </c>
      <c r="D64" s="1137">
        <f>B19</f>
        <v>1500</v>
      </c>
      <c r="E64" s="41" t="s">
        <v>201</v>
      </c>
      <c r="G64" s="92" t="s">
        <v>277</v>
      </c>
      <c r="H64" s="93" t="s">
        <v>278</v>
      </c>
      <c r="I64" s="55" t="s">
        <v>672</v>
      </c>
      <c r="J64" s="103" t="str">
        <f>IF((D49=1)*(D42="TriggerWidth"),J42+IF(ROUNDUP((1000*D47/J38),0)&gt;J66,ROUNDUP((1000*D47/J38),0)-J66,0),"null")</f>
        <v>null</v>
      </c>
      <c r="K64" s="104" t="s">
        <v>140</v>
      </c>
      <c r="M64" s="20" t="s">
        <v>271</v>
      </c>
      <c r="N64" s="21" t="s">
        <v>272</v>
      </c>
      <c r="O64" s="21" t="s">
        <v>273</v>
      </c>
      <c r="P64" s="1130">
        <f>64-P56-P60-P62</f>
        <v>10</v>
      </c>
      <c r="Q64" s="131" t="s">
        <v>201</v>
      </c>
      <c r="S64" s="134" t="s">
        <v>673</v>
      </c>
      <c r="T64" s="55" t="s">
        <v>674</v>
      </c>
      <c r="U64" s="135" t="s">
        <v>675</v>
      </c>
      <c r="V64" s="30" t="s">
        <v>533</v>
      </c>
      <c r="W64" s="150" t="str">
        <f>"0X"&amp;DEC2HEX(J49)</f>
        <v>0X0</v>
      </c>
      <c r="X64" s="1148"/>
    </row>
    <row r="65" spans="1:24" ht="57.75" hidden="1" thickBot="1">
      <c r="A65" s="59" t="s">
        <v>32</v>
      </c>
      <c r="B65" s="24" t="str">
        <f>"流通道包间隔 
范围:0"&amp;"-"&amp;J60</f>
        <v>流通道包间隔 
范围:0-8104654</v>
      </c>
      <c r="C65" s="58">
        <v>0</v>
      </c>
      <c r="D65" s="1137">
        <v>0</v>
      </c>
      <c r="E65" s="41" t="s">
        <v>106</v>
      </c>
      <c r="G65" s="94" t="s">
        <v>283</v>
      </c>
      <c r="H65" s="95" t="s">
        <v>284</v>
      </c>
      <c r="I65" s="26" t="s">
        <v>676</v>
      </c>
      <c r="J65" s="105" t="str">
        <f>IF((D49=1)*(D42="TriggerWidth"),IF(D47&gt;D46,(ROUNDUP((1000*D47/J38),0)*J38+P46)/1000,(ROUNDUP((1000*D46/J38),0)*J38+P46)/1000),"null")</f>
        <v>null</v>
      </c>
      <c r="K65" s="97" t="s">
        <v>117</v>
      </c>
      <c r="M65" s="1343" t="s">
        <v>280</v>
      </c>
      <c r="N65" s="1344"/>
      <c r="O65" s="1344"/>
      <c r="P65" s="1344"/>
      <c r="Q65" s="1345"/>
      <c r="S65" s="134" t="s">
        <v>677</v>
      </c>
      <c r="T65" s="55" t="s">
        <v>678</v>
      </c>
      <c r="U65" s="135" t="s">
        <v>679</v>
      </c>
      <c r="V65" s="30" t="s">
        <v>680</v>
      </c>
      <c r="W65" s="150" t="str">
        <f>"0x"&amp;DEC2HEX(J66)</f>
        <v>0x12F</v>
      </c>
      <c r="X65" s="1148"/>
    </row>
    <row r="66" spans="1:24" ht="43.5" hidden="1" thickBot="1">
      <c r="A66" s="60" t="s">
        <v>30</v>
      </c>
      <c r="B66" s="26" t="str">
        <f>"预留带宽 
范围:0-"&amp;J62</f>
        <v>预留带宽 
范围:0-99</v>
      </c>
      <c r="C66" s="61">
        <v>10</v>
      </c>
      <c r="D66" s="1140">
        <f>B15</f>
        <v>2</v>
      </c>
      <c r="E66" s="23" t="s">
        <v>259</v>
      </c>
      <c r="G66" s="94" t="s">
        <v>681</v>
      </c>
      <c r="H66" s="95" t="s">
        <v>559</v>
      </c>
      <c r="I66" s="26" t="s">
        <v>560</v>
      </c>
      <c r="J66" s="105">
        <f>MAX(INT(D46*1000/J38),1)</f>
        <v>303</v>
      </c>
      <c r="K66" s="106" t="s">
        <v>140</v>
      </c>
      <c r="M66" s="1109" t="s">
        <v>91</v>
      </c>
      <c r="N66" s="1110" t="s">
        <v>92</v>
      </c>
      <c r="O66" s="1110" t="s">
        <v>93</v>
      </c>
      <c r="P66" s="1110" t="s">
        <v>96</v>
      </c>
      <c r="Q66" s="116" t="s">
        <v>95</v>
      </c>
      <c r="S66" s="134" t="s">
        <v>682</v>
      </c>
      <c r="T66" s="55" t="s">
        <v>683</v>
      </c>
      <c r="U66" s="135" t="s">
        <v>684</v>
      </c>
      <c r="V66" s="24" t="s">
        <v>685</v>
      </c>
      <c r="W66" s="150" t="str">
        <f>"0x"&amp;DEC2HEX(IF(D44&lt;=P46/1000,1,J47))</f>
        <v>0x17AE</v>
      </c>
      <c r="X66" s="1148"/>
    </row>
    <row r="67" spans="1:24" ht="29.25" hidden="1" thickBot="1">
      <c r="A67" s="1343" t="s">
        <v>293</v>
      </c>
      <c r="B67" s="1344"/>
      <c r="C67" s="1344"/>
      <c r="D67" s="1344"/>
      <c r="E67" s="1345"/>
      <c r="G67" s="1149" t="s">
        <v>686</v>
      </c>
      <c r="H67" s="1150"/>
      <c r="I67" s="1151" t="s">
        <v>686</v>
      </c>
      <c r="J67" s="1151"/>
      <c r="K67" s="1152"/>
      <c r="M67" s="15" t="s">
        <v>288</v>
      </c>
      <c r="N67" s="55" t="s">
        <v>289</v>
      </c>
      <c r="O67" s="16" t="s">
        <v>290</v>
      </c>
      <c r="P67" s="1114">
        <f>36</f>
        <v>36</v>
      </c>
      <c r="Q67" s="121" t="s">
        <v>201</v>
      </c>
      <c r="S67" s="134" t="s">
        <v>687</v>
      </c>
      <c r="T67" s="55" t="s">
        <v>688</v>
      </c>
      <c r="U67" s="135" t="s">
        <v>689</v>
      </c>
      <c r="V67" s="30" t="s">
        <v>548</v>
      </c>
      <c r="W67" s="1153" t="str">
        <f>"0x"&amp;DEC2HEX(MAX(J42,J43,J44,J45))</f>
        <v>0x1808</v>
      </c>
      <c r="X67" s="1148"/>
    </row>
    <row r="68" spans="1:24" ht="40.5" hidden="1">
      <c r="A68" s="15" t="s">
        <v>300</v>
      </c>
      <c r="B68" s="16" t="s">
        <v>299</v>
      </c>
      <c r="C68" s="16">
        <v>0</v>
      </c>
      <c r="D68" s="1128">
        <f>B13</f>
        <v>0</v>
      </c>
      <c r="E68" s="38" t="s">
        <v>122</v>
      </c>
      <c r="G68" s="76" t="s">
        <v>584</v>
      </c>
      <c r="H68" s="76" t="s">
        <v>585</v>
      </c>
      <c r="I68" s="76" t="s">
        <v>1594</v>
      </c>
      <c r="J68" s="79" t="str">
        <f>IF(D43="Standard","null",J42+J49+J47+ROUNDUP(P46/1000,0)+ROUNDUP(P50*J38/1000,0))</f>
        <v>null</v>
      </c>
      <c r="K68" s="79" t="s">
        <v>117</v>
      </c>
      <c r="M68" s="68" t="s">
        <v>294</v>
      </c>
      <c r="N68" s="24" t="s">
        <v>295</v>
      </c>
      <c r="O68" s="30" t="s">
        <v>296</v>
      </c>
      <c r="P68" s="1132">
        <v>10</v>
      </c>
      <c r="Q68" s="125" t="s">
        <v>201</v>
      </c>
      <c r="S68" s="137" t="s">
        <v>691</v>
      </c>
      <c r="T68" s="55" t="s">
        <v>692</v>
      </c>
      <c r="U68" s="135" t="s">
        <v>693</v>
      </c>
      <c r="V68" s="30" t="s">
        <v>548</v>
      </c>
      <c r="W68" s="152" t="str">
        <f>"0x"&amp;IF(D49=0,DEC2HEX(MAX(J42,J43,J45)),DEC2HEX(MAX(J42,J43)))</f>
        <v>0x1808</v>
      </c>
      <c r="X68" s="1148"/>
    </row>
    <row r="69" spans="1:24" ht="29.25" hidden="1" thickBot="1">
      <c r="A69" s="20" t="s">
        <v>306</v>
      </c>
      <c r="B69" s="21" t="s">
        <v>293</v>
      </c>
      <c r="C69" s="21">
        <f>VLOOKUP($C$35,$S$37:$AQ$54,22,FALSE)</f>
        <v>636</v>
      </c>
      <c r="D69" s="1129">
        <f>B14</f>
        <v>408</v>
      </c>
      <c r="E69" s="62" t="s">
        <v>125</v>
      </c>
      <c r="G69" s="1149" t="s">
        <v>694</v>
      </c>
      <c r="H69" s="1150"/>
      <c r="I69" s="1151" t="s">
        <v>694</v>
      </c>
      <c r="J69" s="1151"/>
      <c r="K69" s="1152"/>
      <c r="M69" s="111" t="s">
        <v>301</v>
      </c>
      <c r="N69" s="112" t="s">
        <v>302</v>
      </c>
      <c r="O69" s="112" t="s">
        <v>303</v>
      </c>
      <c r="P69" s="1116">
        <v>60</v>
      </c>
      <c r="Q69" s="88" t="s">
        <v>201</v>
      </c>
      <c r="S69" s="137" t="s">
        <v>695</v>
      </c>
      <c r="T69" s="55" t="s">
        <v>696</v>
      </c>
      <c r="U69" s="135" t="s">
        <v>697</v>
      </c>
      <c r="V69" s="30" t="s">
        <v>548</v>
      </c>
      <c r="W69" s="152" t="str">
        <f>"0x"&amp;IF(D42="TriggerWidth",DEC2HEX(MAX(J42,J44)),IF(D50=0,DEC2HEX(MAX(J42,J43,IF(D61=1,0,J44))),DEC2HEX(MAX(J42,J43,IF(D61=1,0,J44),J45))))</f>
        <v>0x1808</v>
      </c>
      <c r="X69" s="1148"/>
    </row>
    <row r="70" spans="1:24" ht="41.25" hidden="1" thickBot="1">
      <c r="A70" s="1343" t="s">
        <v>698</v>
      </c>
      <c r="B70" s="1344"/>
      <c r="C70" s="1344"/>
      <c r="D70" s="1344"/>
      <c r="E70" s="1345"/>
      <c r="G70" s="76" t="s">
        <v>587</v>
      </c>
      <c r="H70" s="76" t="s">
        <v>588</v>
      </c>
      <c r="I70" s="76" t="s">
        <v>1595</v>
      </c>
      <c r="J70" s="76">
        <f>J47+IF(D61=1,0,J49)+P45</f>
        <v>6152</v>
      </c>
      <c r="K70" s="76" t="s">
        <v>140</v>
      </c>
      <c r="M70" s="39" t="s">
        <v>307</v>
      </c>
      <c r="N70" s="24" t="s">
        <v>308</v>
      </c>
      <c r="O70" s="24" t="s">
        <v>309</v>
      </c>
      <c r="P70" s="1154">
        <f>D56*D57*IF(D40=8,1,IF(D40="RGB8",3,IF(D40="packed12",1.5,2)))</f>
        <v>1766400</v>
      </c>
      <c r="Q70" s="125" t="s">
        <v>201</v>
      </c>
      <c r="S70" s="137" t="s">
        <v>700</v>
      </c>
      <c r="T70" s="55" t="s">
        <v>701</v>
      </c>
      <c r="U70" s="135" t="s">
        <v>702</v>
      </c>
      <c r="V70" s="24" t="s">
        <v>548</v>
      </c>
      <c r="W70" s="150" t="str">
        <f>"0x"&amp;IF((D49=1)*(D42="TriggerWidth"),1,0)</f>
        <v>0x0</v>
      </c>
      <c r="X70" s="1148"/>
    </row>
    <row r="71" spans="1:24" ht="42.75" hidden="1">
      <c r="A71" s="15" t="s">
        <v>321</v>
      </c>
      <c r="B71" s="16" t="s">
        <v>320</v>
      </c>
      <c r="C71" s="16">
        <v>1</v>
      </c>
      <c r="D71" s="1128">
        <v>1</v>
      </c>
      <c r="E71" s="38" t="s">
        <v>122</v>
      </c>
      <c r="G71" s="1346" t="s">
        <v>733</v>
      </c>
      <c r="H71" s="1346"/>
      <c r="I71" s="1346"/>
      <c r="J71" s="1346"/>
      <c r="K71" s="1346"/>
      <c r="M71" s="68" t="s">
        <v>314</v>
      </c>
      <c r="N71" s="24" t="s">
        <v>315</v>
      </c>
      <c r="O71" s="24" t="s">
        <v>316</v>
      </c>
      <c r="P71" s="1155">
        <f>P70+P69*D59</f>
        <v>1766400</v>
      </c>
      <c r="Q71" s="125" t="s">
        <v>201</v>
      </c>
      <c r="S71" s="137" t="s">
        <v>325</v>
      </c>
      <c r="T71" s="24" t="s">
        <v>703</v>
      </c>
      <c r="U71" s="24" t="s">
        <v>704</v>
      </c>
      <c r="V71" s="24" t="s">
        <v>705</v>
      </c>
      <c r="W71" s="1156" t="str">
        <f>"0x"&amp;DEC2HEX(P42/54*VLOOKUP($C$35,$S$37:$AM$54,4,FALSE)-(VLOOKUP($C$35,$S$37:$AM$54,9,FALSE)/VLOOKUP($C$35,$S$37:$AM$54,5,FALSE)/VLOOKUP($C$35,$S$37:$AM$54,6,FALSE)))</f>
        <v>0xC3</v>
      </c>
      <c r="X71" s="1157"/>
    </row>
    <row r="72" spans="1:24" ht="29.25" hidden="1" thickBot="1">
      <c r="A72" s="20" t="s">
        <v>329</v>
      </c>
      <c r="B72" s="21" t="s">
        <v>328</v>
      </c>
      <c r="C72" s="21">
        <v>1</v>
      </c>
      <c r="D72" s="1129">
        <v>1</v>
      </c>
      <c r="E72" s="62" t="s">
        <v>122</v>
      </c>
      <c r="G72" s="79" t="s">
        <v>734</v>
      </c>
      <c r="H72" s="79" t="s">
        <v>735</v>
      </c>
      <c r="I72" s="79" t="s">
        <v>122</v>
      </c>
      <c r="J72" s="79">
        <v>8</v>
      </c>
      <c r="K72" s="79" t="s">
        <v>736</v>
      </c>
      <c r="M72" s="68" t="s">
        <v>322</v>
      </c>
      <c r="N72" s="24" t="s">
        <v>323</v>
      </c>
      <c r="O72" s="30" t="s">
        <v>324</v>
      </c>
      <c r="P72" s="1158">
        <f>INT(P71/(D64-P62))</f>
        <v>1206</v>
      </c>
      <c r="Q72" s="125" t="s">
        <v>421</v>
      </c>
      <c r="S72" s="137" t="s">
        <v>317</v>
      </c>
      <c r="T72" s="24" t="str">
        <f>IF(OR(C38="A7",C38="KU3P"),"0x01100000","0x77601500")</f>
        <v>0x77601500</v>
      </c>
      <c r="U72" s="135" t="s">
        <v>318</v>
      </c>
      <c r="V72" s="24" t="s">
        <v>122</v>
      </c>
      <c r="W72" s="150" t="s">
        <v>319</v>
      </c>
      <c r="X72" s="1159"/>
    </row>
    <row r="73" spans="1:24" ht="129" hidden="1" thickBot="1">
      <c r="A73" s="1343" t="s">
        <v>737</v>
      </c>
      <c r="B73" s="1344"/>
      <c r="C73" s="1344"/>
      <c r="D73" s="1344"/>
      <c r="E73" s="1345"/>
      <c r="G73" s="113" t="s">
        <v>738</v>
      </c>
      <c r="H73" s="113" t="s">
        <v>739</v>
      </c>
      <c r="I73" s="113" t="s">
        <v>122</v>
      </c>
      <c r="J73" s="113">
        <f>POWER(2,ROUNDUP(LOG((2*VLOOKUP($C$35,$S$37:$AT$56,11,FALSE)*VLOOKUP($C$35,$S$37:$AT$56,12,FALSE)+P68+P69),2),0))</f>
        <v>4194304</v>
      </c>
      <c r="K73" s="113" t="s">
        <v>394</v>
      </c>
      <c r="M73" s="68" t="s">
        <v>330</v>
      </c>
      <c r="N73" s="24" t="s">
        <v>331</v>
      </c>
      <c r="O73" s="30" t="s">
        <v>332</v>
      </c>
      <c r="P73" s="1158">
        <f>P71-(D64-P62)*P72</f>
        <v>816</v>
      </c>
      <c r="Q73" s="125" t="s">
        <v>201</v>
      </c>
      <c r="S73" s="140" t="s">
        <v>333</v>
      </c>
      <c r="T73" s="28" t="s">
        <v>335</v>
      </c>
      <c r="U73" s="28" t="s">
        <v>334</v>
      </c>
      <c r="V73" s="28" t="s">
        <v>336</v>
      </c>
      <c r="W73" s="155" t="str">
        <f>"0x"&amp;DEC2HEX(D64-P62)</f>
        <v>0x5B8</v>
      </c>
      <c r="X73" s="1160" t="s">
        <v>337</v>
      </c>
    </row>
    <row r="74" spans="1:24" hidden="1">
      <c r="A74" s="15" t="s">
        <v>348</v>
      </c>
      <c r="B74" s="16" t="s">
        <v>347</v>
      </c>
      <c r="C74" s="16">
        <v>1</v>
      </c>
      <c r="D74" s="1128">
        <v>1</v>
      </c>
      <c r="E74" s="38" t="s">
        <v>122</v>
      </c>
      <c r="G74" s="76" t="s">
        <v>740</v>
      </c>
      <c r="H74" s="76" t="s">
        <v>741</v>
      </c>
      <c r="I74" s="76" t="s">
        <v>122</v>
      </c>
      <c r="J74" s="76">
        <f>8*1024*1024*1024/(8*J73)-1</f>
        <v>255</v>
      </c>
      <c r="K74" s="76" t="s">
        <v>122</v>
      </c>
      <c r="M74" s="68" t="s">
        <v>339</v>
      </c>
      <c r="N74" s="24" t="s">
        <v>340</v>
      </c>
      <c r="O74" s="30" t="s">
        <v>341</v>
      </c>
      <c r="P74" s="1132">
        <f>IF(MOD(P70,(D64-P62))=0,0,1)</f>
        <v>1</v>
      </c>
      <c r="Q74" s="125" t="s">
        <v>421</v>
      </c>
      <c r="S74" s="137" t="s">
        <v>342</v>
      </c>
      <c r="T74" s="24" t="s">
        <v>344</v>
      </c>
      <c r="U74" s="24" t="s">
        <v>343</v>
      </c>
      <c r="V74" s="24" t="s">
        <v>345</v>
      </c>
      <c r="W74" s="24" t="str">
        <f>"0x"&amp;DEC2HEX(J58)</f>
        <v>0x0</v>
      </c>
      <c r="X74" s="1294" t="s">
        <v>346</v>
      </c>
    </row>
    <row r="75" spans="1:24" ht="43.5" hidden="1" thickBot="1">
      <c r="A75" s="20" t="s">
        <v>357</v>
      </c>
      <c r="B75" s="21" t="s">
        <v>356</v>
      </c>
      <c r="C75" s="21">
        <v>1</v>
      </c>
      <c r="D75" s="1129">
        <v>1</v>
      </c>
      <c r="E75" s="62" t="s">
        <v>122</v>
      </c>
      <c r="G75" s="1" t="s">
        <v>414</v>
      </c>
      <c r="H75" s="1161">
        <f>C56*8*IF(D40=8,1,IF(D40="packed12",1.5,IF(D40="RGB8",3,2)))/J38</f>
        <v>7.7622801697998787</v>
      </c>
      <c r="M75" s="68" t="s">
        <v>349</v>
      </c>
      <c r="N75" s="24" t="s">
        <v>350</v>
      </c>
      <c r="O75" s="30" t="s">
        <v>351</v>
      </c>
      <c r="P75" s="1158">
        <f>IF(P73&lt;P64,P64,P73)</f>
        <v>816</v>
      </c>
      <c r="Q75" s="125" t="s">
        <v>201</v>
      </c>
      <c r="S75" s="141" t="s">
        <v>352</v>
      </c>
      <c r="T75" s="26" t="s">
        <v>354</v>
      </c>
      <c r="U75" s="26" t="s">
        <v>353</v>
      </c>
      <c r="V75" s="26" t="s">
        <v>355</v>
      </c>
      <c r="W75" s="26" t="str">
        <f>"0x"&amp;DEC2HEX(J57)</f>
        <v>0x0</v>
      </c>
      <c r="X75" s="1295"/>
    </row>
    <row r="76" spans="1:24" ht="29.25" hidden="1" thickBot="1">
      <c r="A76" s="1343" t="s">
        <v>706</v>
      </c>
      <c r="B76" s="1344"/>
      <c r="C76" s="1344"/>
      <c r="D76" s="1344"/>
      <c r="E76" s="1345"/>
      <c r="G76" s="1" t="s">
        <v>707</v>
      </c>
      <c r="H76" s="1">
        <f>J54*8/1000/1000/1000</f>
        <v>1.4519341547560376</v>
      </c>
      <c r="M76" s="68" t="s">
        <v>358</v>
      </c>
      <c r="N76" s="24" t="s">
        <v>359</v>
      </c>
      <c r="O76" s="30" t="s">
        <v>360</v>
      </c>
      <c r="P76" s="1158">
        <f>P63+P62+P67</f>
        <v>98</v>
      </c>
      <c r="Q76" s="125" t="s">
        <v>201</v>
      </c>
    </row>
    <row r="77" spans="1:24" ht="28.5" hidden="1">
      <c r="A77" s="15" t="s">
        <v>348</v>
      </c>
      <c r="B77" s="16" t="s">
        <v>347</v>
      </c>
      <c r="C77" s="16">
        <v>1</v>
      </c>
      <c r="D77" s="1128">
        <f>B7</f>
        <v>1</v>
      </c>
      <c r="E77" s="38" t="s">
        <v>122</v>
      </c>
      <c r="G77" s="128" t="s">
        <v>415</v>
      </c>
      <c r="H77" s="128">
        <f>I77-H76</f>
        <v>27.548065845243961</v>
      </c>
      <c r="I77" s="1">
        <f>42.64*0.7-0.848</f>
        <v>29</v>
      </c>
      <c r="M77" s="68" t="s">
        <v>366</v>
      </c>
      <c r="N77" s="24" t="s">
        <v>367</v>
      </c>
      <c r="O77" s="30" t="s">
        <v>368</v>
      </c>
      <c r="P77" s="1158">
        <f>P63+P62+P68</f>
        <v>72</v>
      </c>
      <c r="Q77" s="125" t="s">
        <v>201</v>
      </c>
      <c r="U77" s="146"/>
    </row>
    <row r="78" spans="1:24" ht="57.75" hidden="1" thickBot="1">
      <c r="A78" s="20" t="s">
        <v>357</v>
      </c>
      <c r="B78" s="21" t="s">
        <v>356</v>
      </c>
      <c r="C78" s="21">
        <v>1</v>
      </c>
      <c r="D78" s="1129">
        <f>B8</f>
        <v>1</v>
      </c>
      <c r="E78" s="62" t="s">
        <v>122</v>
      </c>
      <c r="G78" s="128" t="s">
        <v>417</v>
      </c>
      <c r="H78" s="129">
        <f>H77-H75</f>
        <v>19.785785675444082</v>
      </c>
      <c r="I78" s="128" t="s">
        <v>418</v>
      </c>
      <c r="M78" s="68" t="s">
        <v>374</v>
      </c>
      <c r="N78" s="24" t="s">
        <v>375</v>
      </c>
      <c r="O78" s="30" t="s">
        <v>376</v>
      </c>
      <c r="P78" s="1158">
        <f>P72*(D64+P63)+P74*(P75+P63+P62)</f>
        <v>1841234</v>
      </c>
      <c r="Q78" s="125" t="s">
        <v>201</v>
      </c>
      <c r="U78" s="146"/>
    </row>
    <row r="79" spans="1:24" ht="42.75" hidden="1">
      <c r="A79" s="1296" t="s">
        <v>365</v>
      </c>
      <c r="B79" s="1297"/>
      <c r="C79" s="1297"/>
      <c r="D79" s="1297"/>
      <c r="E79" s="1298"/>
      <c r="G79" s="128" t="s">
        <v>419</v>
      </c>
      <c r="H79" s="128">
        <f>H75-H76</f>
        <v>6.3103460150438409</v>
      </c>
      <c r="I79" s="128" t="s">
        <v>420</v>
      </c>
      <c r="M79" s="39" t="s">
        <v>377</v>
      </c>
      <c r="N79" s="24" t="s">
        <v>378</v>
      </c>
      <c r="O79" s="24" t="s">
        <v>379</v>
      </c>
      <c r="P79" s="1162">
        <f>(2+P74+P72)*P84</f>
        <v>24180</v>
      </c>
      <c r="Q79" s="88" t="s">
        <v>201</v>
      </c>
      <c r="U79" s="146"/>
    </row>
    <row r="80" spans="1:24" ht="29.25" hidden="1" thickBot="1">
      <c r="A80" s="184" t="s">
        <v>58</v>
      </c>
      <c r="B80" s="185" t="s">
        <v>373</v>
      </c>
      <c r="C80" s="185"/>
      <c r="D80" s="186">
        <f>J40</f>
        <v>98.570724494825043</v>
      </c>
      <c r="E80" s="187"/>
      <c r="G80" s="128"/>
      <c r="H80" s="128"/>
      <c r="I80" s="128"/>
      <c r="M80" s="39" t="s">
        <v>380</v>
      </c>
      <c r="N80" s="24" t="s">
        <v>381</v>
      </c>
      <c r="O80" s="24" t="s">
        <v>382</v>
      </c>
      <c r="P80" s="1163">
        <f>P76+P77+P78+P79</f>
        <v>1865584</v>
      </c>
      <c r="Q80" s="88" t="s">
        <v>201</v>
      </c>
    </row>
    <row r="81" spans="7:17" ht="28.5" hidden="1">
      <c r="G81" s="128"/>
      <c r="H81" s="128"/>
      <c r="I81" s="128"/>
      <c r="M81" s="39" t="s">
        <v>383</v>
      </c>
      <c r="N81" s="24" t="s">
        <v>384</v>
      </c>
      <c r="O81" s="24" t="s">
        <v>385</v>
      </c>
      <c r="P81" s="1116">
        <f>INT(1000000*D63*(100-D66)/80)</f>
        <v>12250000000</v>
      </c>
      <c r="Q81" s="88" t="s">
        <v>386</v>
      </c>
    </row>
    <row r="82" spans="7:17" ht="29.25" hidden="1" thickBot="1">
      <c r="M82" s="42" t="s">
        <v>387</v>
      </c>
      <c r="N82" s="28" t="s">
        <v>388</v>
      </c>
      <c r="O82" s="28" t="s">
        <v>389</v>
      </c>
      <c r="P82" s="1133">
        <f>ROUNDUP(P80*1000000/P81,0)*10</f>
        <v>1530</v>
      </c>
      <c r="Q82" s="23" t="s">
        <v>117</v>
      </c>
    </row>
    <row r="83" spans="7:17" ht="15" hidden="1" thickBot="1">
      <c r="M83" s="1343" t="s">
        <v>390</v>
      </c>
      <c r="N83" s="1344"/>
      <c r="O83" s="1344"/>
      <c r="P83" s="1344"/>
      <c r="Q83" s="1345"/>
    </row>
    <row r="84" spans="7:17" ht="28.5" hidden="1">
      <c r="M84" s="86" t="s">
        <v>391</v>
      </c>
      <c r="N84" s="190" t="s">
        <v>392</v>
      </c>
      <c r="O84" s="24" t="s">
        <v>393</v>
      </c>
      <c r="P84" s="1116">
        <f>MAX(ROUNDUP(D65*D63/1000/8,0),P61+8)</f>
        <v>20</v>
      </c>
      <c r="Q84" s="88" t="s">
        <v>394</v>
      </c>
    </row>
    <row r="85" spans="7:17" ht="57.75" hidden="1" thickBot="1">
      <c r="M85" s="94" t="s">
        <v>395</v>
      </c>
      <c r="N85" s="95" t="s">
        <v>396</v>
      </c>
      <c r="O85" s="26" t="s">
        <v>397</v>
      </c>
      <c r="P85" s="1141">
        <f>ROUNDDOWN((P81-(P78+P77+P76))/(P72+P74+2),0)</f>
        <v>10130817</v>
      </c>
      <c r="Q85" s="97" t="s">
        <v>394</v>
      </c>
    </row>
    <row r="86" spans="7:17" hidden="1"/>
    <row r="87" spans="7:17" hidden="1"/>
    <row r="88" spans="7:17" hidden="1"/>
    <row r="89" spans="7:17" hidden="1"/>
    <row r="90" spans="7:17" hidden="1"/>
    <row r="91" spans="7:17" hidden="1"/>
    <row r="92" spans="7:17" hidden="1"/>
    <row r="93" spans="7:17" hidden="1"/>
    <row r="94" spans="7:17" hidden="1"/>
    <row r="95" spans="7:17" hidden="1"/>
    <row r="96" spans="7:17" hidden="1"/>
    <row r="97" spans="7:9" hidden="1"/>
    <row r="98" spans="7:9" hidden="1"/>
    <row r="99" spans="7:9" hidden="1"/>
    <row r="100" spans="7:9" hidden="1"/>
    <row r="101" spans="7:9" hidden="1"/>
    <row r="102" spans="7:9" hidden="1"/>
    <row r="103" spans="7:9" hidden="1"/>
    <row r="104" spans="7:9" hidden="1"/>
    <row r="105" spans="7:9" hidden="1"/>
    <row r="106" spans="7:9" hidden="1"/>
    <row r="112" spans="7:9">
      <c r="G112" s="189"/>
      <c r="H112" s="1292"/>
      <c r="I112" s="1292"/>
    </row>
    <row r="113" spans="1:9">
      <c r="G113" s="189"/>
      <c r="H113" s="189"/>
      <c r="I113" s="189"/>
    </row>
    <row r="114" spans="1:9">
      <c r="G114" s="189"/>
      <c r="H114" s="189"/>
      <c r="I114" s="189"/>
    </row>
    <row r="115" spans="1:9">
      <c r="G115" s="189"/>
      <c r="H115" s="189"/>
      <c r="I115" s="189"/>
    </row>
    <row r="116" spans="1:9">
      <c r="F116" s="1085"/>
      <c r="G116" s="189"/>
      <c r="H116" s="189"/>
      <c r="I116" s="189"/>
    </row>
    <row r="117" spans="1:9">
      <c r="F117" s="189"/>
      <c r="G117" s="189"/>
      <c r="H117" s="1292"/>
      <c r="I117" s="1292"/>
    </row>
    <row r="118" spans="1:9">
      <c r="F118" s="189"/>
      <c r="G118" s="189"/>
      <c r="H118" s="189"/>
      <c r="I118" s="189"/>
    </row>
    <row r="119" spans="1:9">
      <c r="F119" s="189"/>
      <c r="G119" s="189"/>
      <c r="H119" s="189"/>
      <c r="I119" s="189"/>
    </row>
    <row r="120" spans="1:9">
      <c r="A120" s="189"/>
      <c r="B120" s="189"/>
      <c r="C120" s="189"/>
      <c r="D120" s="189"/>
      <c r="F120" s="189"/>
      <c r="G120" s="189"/>
      <c r="H120" s="189"/>
      <c r="I120" s="189"/>
    </row>
    <row r="121" spans="1:9">
      <c r="A121" s="189"/>
      <c r="B121" s="189"/>
      <c r="C121" s="189"/>
      <c r="D121" s="189"/>
      <c r="F121" s="189"/>
      <c r="G121" s="189"/>
      <c r="H121" s="189"/>
      <c r="I121" s="189"/>
    </row>
    <row r="122" spans="1:9">
      <c r="A122" s="189"/>
      <c r="B122" s="189"/>
      <c r="C122" s="189"/>
      <c r="D122" s="189"/>
      <c r="F122" s="189"/>
      <c r="G122" s="189"/>
      <c r="H122" s="1292"/>
      <c r="I122" s="1292"/>
    </row>
    <row r="123" spans="1:9">
      <c r="A123" s="189"/>
      <c r="B123" s="189"/>
      <c r="C123" s="189"/>
      <c r="D123" s="189"/>
      <c r="E123" s="1085"/>
      <c r="F123" s="189"/>
      <c r="G123" s="189"/>
      <c r="H123" s="189"/>
      <c r="I123" s="189"/>
    </row>
    <row r="124" spans="1:9">
      <c r="A124" s="189"/>
      <c r="B124" s="189"/>
      <c r="C124" s="189"/>
      <c r="D124" s="189"/>
      <c r="E124" s="189"/>
      <c r="F124" s="189"/>
      <c r="G124" s="189"/>
      <c r="H124" s="189"/>
      <c r="I124" s="189"/>
    </row>
    <row r="125" spans="1:9">
      <c r="A125" s="189"/>
      <c r="B125" s="189"/>
      <c r="C125" s="189"/>
      <c r="D125" s="189"/>
      <c r="E125" s="189"/>
      <c r="F125" s="189"/>
      <c r="G125" s="189"/>
      <c r="H125" s="189"/>
      <c r="I125" s="189"/>
    </row>
    <row r="126" spans="1:9">
      <c r="A126" s="189"/>
      <c r="B126" s="189"/>
      <c r="C126" s="189"/>
      <c r="D126" s="189"/>
      <c r="E126" s="189"/>
      <c r="F126" s="189"/>
      <c r="G126" s="189"/>
      <c r="H126" s="189"/>
      <c r="I126" s="189"/>
    </row>
    <row r="127" spans="1:9">
      <c r="A127" s="1085"/>
      <c r="B127" s="1085"/>
      <c r="C127" s="189"/>
      <c r="D127" s="189"/>
      <c r="E127" s="189"/>
      <c r="F127" s="189"/>
      <c r="G127" s="189"/>
      <c r="H127" s="189"/>
      <c r="I127" s="189"/>
    </row>
    <row r="128" spans="1:9">
      <c r="A128" s="189"/>
      <c r="B128" s="1085"/>
      <c r="C128" s="189"/>
      <c r="D128" s="189"/>
      <c r="E128" s="189"/>
      <c r="F128" s="189"/>
      <c r="G128" s="189"/>
      <c r="H128" s="189"/>
      <c r="I128" s="189"/>
    </row>
    <row r="129" spans="1:9">
      <c r="A129" s="189"/>
      <c r="B129" s="1085"/>
      <c r="C129" s="189"/>
      <c r="D129" s="189"/>
      <c r="E129" s="189"/>
      <c r="F129" s="189"/>
      <c r="G129" s="189"/>
      <c r="H129" s="189"/>
      <c r="I129" s="189"/>
    </row>
    <row r="130" spans="1:9">
      <c r="A130" s="189"/>
      <c r="B130" s="189"/>
      <c r="C130" s="189"/>
      <c r="D130" s="189"/>
      <c r="E130" s="189"/>
      <c r="F130" s="189"/>
      <c r="G130" s="189"/>
      <c r="H130" s="189"/>
      <c r="I130" s="189"/>
    </row>
    <row r="131" spans="1:9">
      <c r="A131" s="189"/>
      <c r="B131" s="189"/>
      <c r="C131" s="189"/>
      <c r="D131" s="189"/>
      <c r="E131" s="189"/>
      <c r="F131" s="189"/>
      <c r="G131" s="189"/>
      <c r="H131" s="189"/>
      <c r="I131" s="189"/>
    </row>
    <row r="132" spans="1:9">
      <c r="A132" s="189"/>
      <c r="B132" s="189"/>
      <c r="C132" s="189"/>
      <c r="D132" s="189"/>
      <c r="E132" s="189"/>
      <c r="F132" s="189"/>
      <c r="G132" s="189"/>
      <c r="H132" s="189"/>
      <c r="I132" s="189"/>
    </row>
    <row r="133" spans="1:9">
      <c r="A133" s="189"/>
      <c r="B133" s="189"/>
      <c r="C133" s="189"/>
      <c r="D133" s="189"/>
      <c r="E133" s="189"/>
      <c r="F133" s="189"/>
      <c r="G133" s="189"/>
      <c r="H133" s="189"/>
      <c r="I133" s="189"/>
    </row>
    <row r="134" spans="1:9">
      <c r="A134" s="189"/>
      <c r="B134" s="189"/>
      <c r="C134" s="189"/>
      <c r="D134" s="189"/>
      <c r="E134" s="189"/>
      <c r="F134" s="189"/>
      <c r="G134" s="189"/>
      <c r="H134" s="189"/>
      <c r="I134" s="189"/>
    </row>
    <row r="135" spans="1:9">
      <c r="A135" s="189"/>
      <c r="B135" s="189"/>
      <c r="C135" s="189"/>
      <c r="D135" s="189"/>
      <c r="E135" s="189"/>
      <c r="F135" s="189"/>
      <c r="G135" s="189"/>
      <c r="H135" s="189"/>
      <c r="I135" s="189"/>
    </row>
    <row r="136" spans="1:9">
      <c r="A136" s="189"/>
      <c r="B136" s="189"/>
      <c r="C136" s="189"/>
      <c r="D136" s="189"/>
      <c r="E136" s="189"/>
      <c r="F136" s="189"/>
      <c r="G136" s="189"/>
      <c r="H136" s="189"/>
      <c r="I136" s="189"/>
    </row>
    <row r="137" spans="1:9">
      <c r="A137" s="189"/>
      <c r="B137" s="189"/>
      <c r="C137" s="189"/>
      <c r="D137" s="189"/>
      <c r="E137" s="189"/>
      <c r="F137" s="189"/>
      <c r="G137" s="191"/>
      <c r="H137" s="191"/>
      <c r="I137" s="191"/>
    </row>
    <row r="138" spans="1:9">
      <c r="A138" s="189"/>
      <c r="B138" s="189"/>
      <c r="C138" s="189"/>
      <c r="D138" s="189"/>
      <c r="E138" s="189"/>
      <c r="F138" s="189"/>
    </row>
    <row r="139" spans="1:9">
      <c r="A139" s="189"/>
      <c r="B139" s="189"/>
      <c r="C139" s="189"/>
      <c r="D139" s="189"/>
      <c r="E139" s="189"/>
      <c r="F139" s="189"/>
    </row>
    <row r="140" spans="1:9">
      <c r="A140" s="189"/>
      <c r="B140" s="189"/>
      <c r="C140" s="189"/>
      <c r="D140" s="189"/>
      <c r="E140" s="189"/>
      <c r="F140" s="189"/>
    </row>
    <row r="141" spans="1:9">
      <c r="A141" s="189"/>
      <c r="B141" s="189"/>
      <c r="C141" s="189"/>
      <c r="D141" s="189"/>
      <c r="E141" s="189"/>
      <c r="F141" s="191"/>
    </row>
    <row r="142" spans="1:9">
      <c r="A142" s="189"/>
      <c r="B142" s="189"/>
      <c r="C142" s="189"/>
      <c r="D142" s="189"/>
      <c r="E142" s="189"/>
    </row>
    <row r="143" spans="1:9">
      <c r="A143" s="189"/>
      <c r="B143" s="189"/>
      <c r="C143" s="189"/>
      <c r="D143" s="189"/>
      <c r="E143" s="189"/>
    </row>
    <row r="144" spans="1:9">
      <c r="A144" s="189"/>
      <c r="B144" s="189"/>
      <c r="C144" s="189"/>
      <c r="D144" s="189"/>
      <c r="E144" s="189"/>
    </row>
    <row r="145" spans="1:5">
      <c r="A145" s="191"/>
      <c r="B145" s="191"/>
      <c r="C145" s="191"/>
      <c r="D145" s="191"/>
      <c r="E145" s="189"/>
    </row>
    <row r="146" spans="1:5">
      <c r="E146" s="189"/>
    </row>
    <row r="147" spans="1:5">
      <c r="E147" s="189"/>
    </row>
    <row r="148" spans="1:5">
      <c r="E148" s="191"/>
    </row>
  </sheetData>
  <sheetProtection algorithmName="SHA-512" hashValue="/XqrsixKnDU/jg2VKUI5TVTqhY7lc8KUhAtQxp8JcrLJeJE8rzwHYY5r5Ce65GL/jdoncXZZsi+ki5QFu2RLmQ==" saltValue="cLJgaA4aNeDShv6jwiGTcA==" spinCount="100000" sheet="1" objects="1" scenarios="1"/>
  <mergeCells count="37">
    <mergeCell ref="A37:E37"/>
    <mergeCell ref="A27:B27"/>
    <mergeCell ref="A28:B28"/>
    <mergeCell ref="A29:B29"/>
    <mergeCell ref="A30:B30"/>
    <mergeCell ref="A31:B31"/>
    <mergeCell ref="A32:B32"/>
    <mergeCell ref="G35:K35"/>
    <mergeCell ref="M35:Q35"/>
    <mergeCell ref="S35:AU35"/>
    <mergeCell ref="G36:K36"/>
    <mergeCell ref="M36:Q36"/>
    <mergeCell ref="S60:X60"/>
    <mergeCell ref="A39:E39"/>
    <mergeCell ref="A41:E41"/>
    <mergeCell ref="G41:K41"/>
    <mergeCell ref="G46:K46"/>
    <mergeCell ref="A48:E48"/>
    <mergeCell ref="A51:E51"/>
    <mergeCell ref="A73:E73"/>
    <mergeCell ref="G52:K52"/>
    <mergeCell ref="M52:Q52"/>
    <mergeCell ref="A53:D53"/>
    <mergeCell ref="A58:E58"/>
    <mergeCell ref="A60:E60"/>
    <mergeCell ref="A62:E62"/>
    <mergeCell ref="M65:Q65"/>
    <mergeCell ref="A67:E67"/>
    <mergeCell ref="A70:E70"/>
    <mergeCell ref="G71:K71"/>
    <mergeCell ref="H122:I122"/>
    <mergeCell ref="X74:X75"/>
    <mergeCell ref="A76:E76"/>
    <mergeCell ref="A79:E79"/>
    <mergeCell ref="M83:Q83"/>
    <mergeCell ref="H112:I112"/>
    <mergeCell ref="H117:I117"/>
  </mergeCells>
  <phoneticPr fontId="36" type="noConversion"/>
  <dataValidations count="41">
    <dataValidation type="whole" operator="lessThanOrEqual" allowBlank="1" showInputMessage="1" showErrorMessage="1" sqref="D54:D55">
      <formula1>C56</formula1>
    </dataValidation>
    <dataValidation allowBlank="1" showErrorMessage="1" promptTitle="参数变化" prompt="该参数会根据当前生效的水平像素Binning、水平像素抽样变化" sqref="B3:B4"/>
    <dataValidation type="whole" operator="lessThanOrEqual" allowBlank="1" showInputMessage="1" showErrorMessage="1" error="Binning/Skipping系数最大为2" prompt="设置垂直Binning/Skipping时，需要同步修改垂直ROI" sqref="D72 D75 D78">
      <formula1>2</formula1>
    </dataValidation>
    <dataValidation type="whole" operator="lessThanOrEqual" allowBlank="1" showInputMessage="1" showErrorMessage="1" error="Binning/Skipping系数最大为2" prompt="设置水平Binning/Skipping时，需要同步修改水平ROI" sqref="D71 D74 D77">
      <formula1>2</formula1>
    </dataValidation>
    <dataValidation type="list" allowBlank="1" showInputMessage="1" showErrorMessage="1" errorTitle="超出范围" error="0:关闭_x000a_1:打开" sqref="D68">
      <formula1>"0,1"</formula1>
    </dataValidation>
    <dataValidation type="whole" allowBlank="1" showInputMessage="1" showErrorMessage="1" errorTitle="设置值超出范围" error="预留带宽设置值超出范围" sqref="D66">
      <formula1>0</formula1>
      <formula2>J62</formula2>
    </dataValidation>
    <dataValidation type="custom" allowBlank="1" showInputMessage="1" showErrorMessage="1" sqref="D64">
      <formula1>AND(MOD(D64,4)=0,D64&gt;=512,D64&lt;=16384)</formula1>
    </dataValidation>
    <dataValidation type="whole" allowBlank="1" showInputMessage="1" showErrorMessage="1" errorTitle="设置值超出范围" error="包间隔设置值超出范围" sqref="D65">
      <formula1>0</formula1>
      <formula2>J60</formula2>
    </dataValidation>
    <dataValidation type="list" allowBlank="1" showInputMessage="1" showErrorMessage="1" sqref="D59 D61 D49:D50">
      <formula1>"0,1"</formula1>
    </dataValidation>
    <dataValidation type="whole" allowBlank="1" showInputMessage="1" showErrorMessage="1" errorTitle="输入数值非法" error="最小值4，最大值D12" sqref="D56">
      <formula1>4</formula1>
      <formula2>C56</formula2>
    </dataValidation>
    <dataValidation type="whole" allowBlank="1" showInputMessage="1" showErrorMessage="1" errorTitle="超出范围" error="触发延时的范围是0-3000000us" sqref="D52">
      <formula1>0</formula1>
      <formula2>3000000</formula2>
    </dataValidation>
    <dataValidation type="whole" allowBlank="1" showInputMessage="1" showErrorMessage="1" errorTitle="输入数值非法" error="最小值2，最大值1000000" sqref="D47">
      <formula1>0</formula1>
      <formula2>1000000</formula2>
    </dataValidation>
    <dataValidation type="whole" allowBlank="1" showInputMessage="1" showErrorMessage="1" errorTitle="超出范围" error="曝光延迟的范围是0-5000us" sqref="D45">
      <formula1>0</formula1>
      <formula2>5000</formula2>
    </dataValidation>
    <dataValidation type="whole" allowBlank="1" showInputMessage="1" showErrorMessage="1" errorTitle="输入数值非法" error="最小值4，最大值D12" sqref="D46">
      <formula1>0</formula1>
      <formula2>(D57*D78+P41+P47+P51)*J38/1000+1</formula2>
    </dataValidation>
    <dataValidation type="list" allowBlank="1" showInputMessage="1" showErrorMessage="1" errorTitle="超出范围" error="曝光时间的范围是14us-1s" sqref="D43">
      <formula1>"Standard,Ultrashort"</formula1>
    </dataValidation>
    <dataValidation type="list" allowBlank="1" showInputMessage="1" showErrorMessage="1" errorTitle="超出范围" error="曝光时间的范围是14us-1s" sqref="D42">
      <formula1>"Timed,TriggerWidth"</formula1>
    </dataValidation>
    <dataValidation type="list" allowBlank="1" showInputMessage="1" showErrorMessage="1" sqref="E36">
      <formula1>"彩色,黑白"</formula1>
    </dataValidation>
    <dataValidation type="list" allowBlank="1" showInputMessage="1" showErrorMessage="1" sqref="C36">
      <formula1>$AQ$37:$AQ$40</formula1>
    </dataValidation>
    <dataValidation type="whole" allowBlank="1" showInputMessage="1" showErrorMessage="1" errorTitle="超出范围" error="曝光时间的范围是14us-1s" sqref="D44">
      <formula1>1</formula1>
      <formula2>1000000</formula2>
    </dataValidation>
    <dataValidation type="list" allowBlank="1" showInputMessage="1" showErrorMessage="1" sqref="C35">
      <formula1>$S$37:$S$51</formula1>
    </dataValidation>
    <dataValidation type="custom" allowBlank="1" showInputMessage="1" showErrorMessage="1" error="输入范围是512~8192，步长为4" sqref="B19 C28">
      <formula1>AND((B19&lt;=8192),(B19&gt;=512),(MOD(B19,4)=0))</formula1>
    </dataValidation>
    <dataValidation type="whole" allowBlank="1" showInputMessage="1" showErrorMessage="1" error="设置范围为0~预留带宽最大值" sqref="B15">
      <formula1>0</formula1>
      <formula2>B16</formula2>
    </dataValidation>
    <dataValidation type="whole" allowBlank="1" showInputMessage="1" showErrorMessage="1" error="输入范围是[0,5000]，单位为us" sqref="B20">
      <formula1>0</formula1>
      <formula2>5000</formula2>
    </dataValidation>
    <dataValidation type="custom" allowBlank="1" showInputMessage="1" showErrorMessage="1" error="设置值范围0.1~10000.0，精确到一位小数" sqref="B14">
      <formula1>AND(TRUNC(B14,1)=B14,(B14&gt;=0.1),(B14&lt;=10000))</formula1>
    </dataValidation>
    <dataValidation type="list" allowBlank="1" showInputMessage="1" showErrorMessage="1" errorTitle="超出范围" error="请输入0或者1" sqref="B13 B21">
      <formula1>"0,1"</formula1>
    </dataValidation>
    <dataValidation type="custom" allowBlank="1" showInputMessage="1" showErrorMessage="1" error="请输入10000或者1000" sqref="B12">
      <formula1>OR((B12=10000),(B12=1000))</formula1>
    </dataValidation>
    <dataValidation type="list" allowBlank="1" showInputMessage="1" showErrorMessage="1" sqref="B11">
      <formula1>"BPP8,BPP10,BPP12"</formula1>
    </dataValidation>
    <dataValidation type="custom" allowBlank="1" showInputMessage="1" showErrorMessage="1" error="输入参数值为1或者2，并且当水平像素抽样不为1时不能输入" sqref="B7">
      <formula1>OR((B7=1),(B7=2))</formula1>
    </dataValidation>
    <dataValidation type="list" allowBlank="1" showInputMessage="1" showErrorMessage="1" sqref="B10 D40">
      <formula1>"8,10,12,RGB8,packed12"</formula1>
    </dataValidation>
    <dataValidation type="custom" allowBlank="1" showInputMessage="1" showErrorMessage="1" errorTitle="输入数值非法" error="输入范围是2~图像高度最大值，步长为2" sqref="B6">
      <formula1>AND((B6&lt;=B4),(B6&gt;=2),(MOD(B6,2)=0))</formula1>
    </dataValidation>
    <dataValidation type="list" allowBlank="1" showInputMessage="1" showErrorMessage="1" sqref="D63">
      <formula1>"1000,10000"</formula1>
    </dataValidation>
    <dataValidation type="custom" allowBlank="1" showInputMessage="1" showErrorMessage="1" errorTitle="输入数值非法" error="输入范围是16~图像宽度最大值，步长为16" sqref="B5">
      <formula1>AND((B5&lt;=B3),(B5&gt;=4),(MOD(B5,4)=0))</formula1>
    </dataValidation>
    <dataValidation type="list" allowBlank="1" showInputMessage="1" showErrorMessage="1" sqref="J72">
      <formula1>"1,2,4,8"</formula1>
    </dataValidation>
    <dataValidation type="whole" allowBlank="1" showInputMessage="1" showErrorMessage="1" errorTitle="超出范围" error="曝光时间的范围是9us-1s" sqref="B9">
      <formula1>9</formula1>
      <formula2>1000000</formula2>
    </dataValidation>
    <dataValidation type="decimal" allowBlank="1" showInputMessage="1" showErrorMessage="1" sqref="D69">
      <formula1>0.1</formula1>
      <formula2>10000</formula2>
    </dataValidation>
    <dataValidation type="list" allowBlank="1" showInputMessage="1" showErrorMessage="1" sqref="B2">
      <formula1>"MARS-170-662GTC,MARS-170-662GTM"</formula1>
    </dataValidation>
    <dataValidation type="list" allowBlank="1" showInputMessage="1" showErrorMessage="1" sqref="D36">
      <formula1>"BPP8,BPP10,BPP12,AD10_GC8"</formula1>
    </dataValidation>
    <dataValidation type="whole" allowBlank="1" showInputMessage="1" showErrorMessage="1" errorTitle="输入数值非法" error="最小值2，最大值D13" sqref="D57">
      <formula1>2</formula1>
      <formula2>C57</formula2>
    </dataValidation>
    <dataValidation type="custom" allowBlank="1" showInputMessage="1" showErrorMessage="1" error="输入参数值为1或者2，并且当垂直像素抽样不为1时不能输入" sqref="B8">
      <formula1>OR((B8=1),(B8=2))</formula1>
    </dataValidation>
    <dataValidation allowBlank="1" showInputMessage="1" showErrorMessage="1" error="输入范围是64~1024，步长为2" sqref="A1:B1"/>
    <dataValidation type="whole" allowBlank="1" showInputMessage="1" showErrorMessage="1" error="设置值范围为0~包间隔最大值" sqref="B17">
      <formula1>0</formula1>
      <formula2>B18</formula2>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107"/>
  <sheetViews>
    <sheetView tabSelected="1" zoomScaleNormal="100" workbookViewId="0">
      <selection activeCell="G23" sqref="G23"/>
    </sheetView>
  </sheetViews>
  <sheetFormatPr defaultColWidth="9" defaultRowHeight="16.5"/>
  <cols>
    <col min="1" max="1" width="26.5" style="931" customWidth="1"/>
    <col min="2" max="2" width="28.75" style="931" bestFit="1" customWidth="1"/>
    <col min="3" max="3" width="24.875" style="931" customWidth="1"/>
    <col min="4" max="4" width="8.875" style="931" bestFit="1" customWidth="1"/>
    <col min="5" max="5" width="6.75" style="931" bestFit="1" customWidth="1"/>
    <col min="6" max="6" width="9.5" style="931" bestFit="1" customWidth="1"/>
    <col min="7" max="7" width="26.25" style="931" bestFit="1" customWidth="1"/>
    <col min="8" max="8" width="41.25" style="931" bestFit="1" customWidth="1"/>
    <col min="9" max="9" width="74.75" style="931" customWidth="1"/>
    <col min="10" max="10" width="13.875" style="931" bestFit="1" customWidth="1"/>
    <col min="11" max="11" width="6.75" style="931" bestFit="1" customWidth="1"/>
    <col min="12" max="12" width="4.5" style="931" customWidth="1"/>
    <col min="13" max="13" width="29.5" style="931" bestFit="1" customWidth="1"/>
    <col min="14" max="14" width="57.875" style="931" bestFit="1" customWidth="1"/>
    <col min="15" max="15" width="52.625" style="931" bestFit="1" customWidth="1"/>
    <col min="16" max="16" width="14.5" style="931" bestFit="1" customWidth="1"/>
    <col min="17" max="17" width="8.25" style="931" bestFit="1" customWidth="1"/>
    <col min="18" max="18" width="4.875" style="931" customWidth="1"/>
    <col min="19" max="19" width="26" style="931" bestFit="1" customWidth="1"/>
    <col min="20" max="20" width="31.5" style="931" bestFit="1" customWidth="1"/>
    <col min="21" max="21" width="13.75" style="931" customWidth="1"/>
    <col min="22" max="22" width="28.25" style="931" customWidth="1"/>
    <col min="23" max="23" width="10" style="931" bestFit="1" customWidth="1"/>
    <col min="24" max="24" width="44.5" style="931" customWidth="1"/>
    <col min="25" max="26" width="10.875" style="931" bestFit="1" customWidth="1"/>
    <col min="27" max="27" width="18.625" style="931" bestFit="1" customWidth="1"/>
    <col min="28" max="29" width="20.25" style="931" bestFit="1" customWidth="1"/>
    <col min="30" max="30" width="20.625" style="931" customWidth="1"/>
    <col min="31" max="31" width="12.625" style="931" customWidth="1"/>
    <col min="32" max="32" width="11.625" style="931" bestFit="1" customWidth="1"/>
    <col min="33" max="33" width="13" style="931" bestFit="1" customWidth="1"/>
    <col min="34" max="35" width="12.75" style="931" bestFit="1" customWidth="1"/>
    <col min="36" max="36" width="11.875" style="931" customWidth="1"/>
    <col min="37" max="37" width="20.75" style="931" bestFit="1" customWidth="1"/>
    <col min="38" max="38" width="17.625" style="931" bestFit="1" customWidth="1"/>
    <col min="39" max="39" width="14.125" style="931" bestFit="1" customWidth="1"/>
    <col min="40" max="41" width="11.875" style="931" bestFit="1" customWidth="1"/>
    <col min="42" max="16384" width="9" style="931"/>
  </cols>
  <sheetData>
    <row r="1" spans="1:3">
      <c r="A1" s="920" t="s">
        <v>1568</v>
      </c>
      <c r="B1" s="921"/>
    </row>
    <row r="2" spans="1:3">
      <c r="A2" s="920" t="s">
        <v>17</v>
      </c>
      <c r="B2" s="920">
        <f>IF(B8=2,1040,IF(B6=1,2080,IF(B6=2,1040,IF(B6=4,520,2080))))</f>
        <v>2080</v>
      </c>
    </row>
    <row r="3" spans="1:3">
      <c r="A3" s="920" t="s">
        <v>18</v>
      </c>
      <c r="B3" s="920">
        <f>IF(B8=2,768,IF(B7=1,1544,IF(B7=2,768,IF(B7=4,384,1544))))</f>
        <v>1544</v>
      </c>
    </row>
    <row r="4" spans="1:3">
      <c r="A4" s="920" t="s">
        <v>19</v>
      </c>
      <c r="B4" s="921">
        <v>2080</v>
      </c>
      <c r="C4" s="1086" t="str">
        <f>IF(OR(B4&gt;B2,B4&lt;16),I25,"")</f>
        <v/>
      </c>
    </row>
    <row r="5" spans="1:3">
      <c r="A5" s="920" t="s">
        <v>20</v>
      </c>
      <c r="B5" s="921">
        <v>1544</v>
      </c>
      <c r="C5" s="1086" t="str">
        <f>IF(OR(B5&gt;B3,B5&lt;2),I26,"")</f>
        <v/>
      </c>
    </row>
    <row r="6" spans="1:3">
      <c r="A6" s="920" t="s">
        <v>21</v>
      </c>
      <c r="B6" s="921">
        <v>1</v>
      </c>
    </row>
    <row r="7" spans="1:3">
      <c r="A7" s="920" t="s">
        <v>1567</v>
      </c>
      <c r="B7" s="921">
        <v>1</v>
      </c>
    </row>
    <row r="8" spans="1:3">
      <c r="A8" s="920" t="s">
        <v>1566</v>
      </c>
      <c r="B8" s="921">
        <v>1</v>
      </c>
    </row>
    <row r="9" spans="1:3">
      <c r="A9" s="920" t="s">
        <v>1481</v>
      </c>
      <c r="B9" s="921" t="s">
        <v>481</v>
      </c>
      <c r="C9" s="1018"/>
    </row>
    <row r="10" spans="1:3">
      <c r="A10" s="920" t="s">
        <v>25</v>
      </c>
      <c r="B10" s="921">
        <v>10000</v>
      </c>
    </row>
    <row r="11" spans="1:3">
      <c r="A11" s="920" t="s">
        <v>35</v>
      </c>
      <c r="B11" s="921">
        <v>0</v>
      </c>
    </row>
    <row r="12" spans="1:3">
      <c r="A12" s="920" t="s">
        <v>1565</v>
      </c>
      <c r="B12" s="921">
        <v>10</v>
      </c>
    </row>
    <row r="13" spans="1:3">
      <c r="A13" s="920" t="s">
        <v>1515</v>
      </c>
      <c r="B13" s="921">
        <v>8</v>
      </c>
    </row>
    <row r="14" spans="1:3">
      <c r="A14" s="920" t="s">
        <v>36</v>
      </c>
      <c r="B14" s="921">
        <v>0</v>
      </c>
    </row>
    <row r="15" spans="1:3">
      <c r="A15" s="920" t="s">
        <v>27</v>
      </c>
      <c r="B15" s="921">
        <v>10000</v>
      </c>
    </row>
    <row r="16" spans="1:3">
      <c r="A16" s="920" t="s">
        <v>28</v>
      </c>
      <c r="B16" s="921">
        <v>0</v>
      </c>
    </row>
    <row r="17" spans="1:9">
      <c r="A17" s="920" t="s">
        <v>29</v>
      </c>
      <c r="B17" s="921">
        <v>132</v>
      </c>
    </row>
    <row r="18" spans="1:9">
      <c r="A18" s="920" t="s">
        <v>30</v>
      </c>
      <c r="B18" s="921">
        <v>2</v>
      </c>
    </row>
    <row r="19" spans="1:9" ht="27">
      <c r="A19" s="920" t="s">
        <v>31</v>
      </c>
      <c r="B19" s="920">
        <f>J74</f>
        <v>4461440</v>
      </c>
    </row>
    <row r="20" spans="1:9">
      <c r="A20" s="920" t="s">
        <v>32</v>
      </c>
      <c r="B20" s="921">
        <v>0</v>
      </c>
    </row>
    <row r="21" spans="1:9">
      <c r="A21" s="920" t="s">
        <v>33</v>
      </c>
      <c r="B21" s="920">
        <f>J72</f>
        <v>0</v>
      </c>
    </row>
    <row r="22" spans="1:9" ht="20.25" customHeight="1">
      <c r="A22" s="920" t="s">
        <v>34</v>
      </c>
      <c r="B22" s="921">
        <v>1500</v>
      </c>
    </row>
    <row r="23" spans="1:9">
      <c r="A23" s="920"/>
      <c r="B23" s="921"/>
    </row>
    <row r="24" spans="1:9">
      <c r="A24" s="394" t="s">
        <v>1564</v>
      </c>
      <c r="B24" s="922">
        <f>D90</f>
        <v>97.723052868171607</v>
      </c>
    </row>
    <row r="25" spans="1:9" hidden="1">
      <c r="I25" s="1018" t="s">
        <v>1573</v>
      </c>
    </row>
    <row r="26" spans="1:9" hidden="1">
      <c r="I26" s="1018" t="s">
        <v>1574</v>
      </c>
    </row>
    <row r="28" spans="1:9" ht="20.25" customHeight="1"/>
    <row r="29" spans="1:9" ht="20.25" customHeight="1"/>
    <row r="44" spans="1:41" hidden="1"/>
    <row r="45" spans="1:41" ht="17.25" hidden="1" thickBot="1"/>
    <row r="46" spans="1:41" ht="17.25" hidden="1" thickBot="1">
      <c r="A46" s="1037" t="s">
        <v>1563</v>
      </c>
      <c r="B46" s="1037" t="s">
        <v>1562</v>
      </c>
      <c r="C46" s="1036" t="s">
        <v>745</v>
      </c>
      <c r="D46" s="932"/>
      <c r="E46" s="932"/>
      <c r="S46" s="932"/>
      <c r="T46" s="932"/>
      <c r="U46" s="932"/>
      <c r="V46" s="932"/>
      <c r="W46" s="932"/>
      <c r="X46" s="932"/>
    </row>
    <row r="47" spans="1:41" ht="33.75" hidden="1" thickBot="1">
      <c r="A47" s="1035" t="s">
        <v>1561</v>
      </c>
      <c r="B47" s="1034" t="s">
        <v>1560</v>
      </c>
      <c r="C47" s="1033" t="s">
        <v>1519</v>
      </c>
      <c r="D47" s="932"/>
      <c r="E47" s="932"/>
      <c r="G47" s="1186" t="s">
        <v>1559</v>
      </c>
      <c r="H47" s="1187"/>
      <c r="I47" s="1187"/>
      <c r="J47" s="1187"/>
      <c r="K47" s="1188"/>
      <c r="M47" s="1186" t="s">
        <v>1558</v>
      </c>
      <c r="N47" s="1187"/>
      <c r="O47" s="1187"/>
      <c r="P47" s="1187"/>
      <c r="Q47" s="1188"/>
      <c r="S47" s="1194" t="s">
        <v>1557</v>
      </c>
      <c r="T47" s="1195"/>
      <c r="U47" s="1195"/>
      <c r="V47" s="1195"/>
      <c r="W47" s="1195"/>
      <c r="X47" s="1195"/>
      <c r="Y47" s="1195"/>
      <c r="Z47" s="1195"/>
      <c r="AA47" s="1195"/>
      <c r="AB47" s="1195"/>
      <c r="AC47" s="1195"/>
      <c r="AD47" s="1195"/>
      <c r="AE47" s="1195"/>
      <c r="AF47" s="1195"/>
      <c r="AG47" s="1195"/>
      <c r="AH47" s="1195"/>
      <c r="AI47" s="1195"/>
      <c r="AJ47" s="1195"/>
      <c r="AK47" s="1195"/>
      <c r="AL47" s="1195"/>
      <c r="AM47" s="1195"/>
      <c r="AN47" s="1195"/>
      <c r="AO47" s="1195"/>
    </row>
    <row r="48" spans="1:41" ht="49.5" hidden="1">
      <c r="A48" s="1187" t="s">
        <v>1556</v>
      </c>
      <c r="B48" s="1187"/>
      <c r="C48" s="1187"/>
      <c r="D48" s="1187"/>
      <c r="E48" s="1188"/>
      <c r="G48" s="990" t="s">
        <v>747</v>
      </c>
      <c r="H48" s="989" t="s">
        <v>1327</v>
      </c>
      <c r="I48" s="1032" t="s">
        <v>1326</v>
      </c>
      <c r="J48" s="989" t="s">
        <v>1555</v>
      </c>
      <c r="K48" s="1031" t="s">
        <v>1325</v>
      </c>
      <c r="M48" s="1169" t="s">
        <v>1554</v>
      </c>
      <c r="N48" s="1170"/>
      <c r="O48" s="1170"/>
      <c r="P48" s="1170"/>
      <c r="Q48" s="1171"/>
      <c r="S48" s="1030" t="s">
        <v>1553</v>
      </c>
      <c r="T48" s="1028" t="s">
        <v>1552</v>
      </c>
      <c r="U48" s="1028" t="s">
        <v>1551</v>
      </c>
      <c r="V48" s="1028" t="s">
        <v>1550</v>
      </c>
      <c r="W48" s="1028" t="s">
        <v>1549</v>
      </c>
      <c r="X48" s="1028" t="s">
        <v>1548</v>
      </c>
      <c r="Y48" s="1028" t="s">
        <v>1547</v>
      </c>
      <c r="Z48" s="1028" t="s">
        <v>1546</v>
      </c>
      <c r="AA48" s="1028" t="s">
        <v>1545</v>
      </c>
      <c r="AB48" s="1028" t="s">
        <v>1544</v>
      </c>
      <c r="AC48" s="1028" t="s">
        <v>1543</v>
      </c>
      <c r="AD48" s="1028" t="s">
        <v>1542</v>
      </c>
      <c r="AE48" s="1029" t="s">
        <v>1541</v>
      </c>
      <c r="AF48" s="1028" t="s">
        <v>1540</v>
      </c>
      <c r="AG48" s="1028" t="s">
        <v>1539</v>
      </c>
      <c r="AH48" s="1028" t="s">
        <v>1538</v>
      </c>
      <c r="AI48" s="1028" t="s">
        <v>1537</v>
      </c>
      <c r="AJ48" s="1028" t="s">
        <v>1536</v>
      </c>
      <c r="AK48" s="1028" t="s">
        <v>1535</v>
      </c>
      <c r="AL48" s="1027" t="s">
        <v>1534</v>
      </c>
      <c r="AM48" s="1027" t="s">
        <v>1533</v>
      </c>
      <c r="AN48" s="1026" t="s">
        <v>1532</v>
      </c>
      <c r="AO48" s="1026" t="s">
        <v>1531</v>
      </c>
    </row>
    <row r="49" spans="1:41" ht="33.75" hidden="1" thickBot="1">
      <c r="A49" s="989" t="s">
        <v>747</v>
      </c>
      <c r="B49" s="989" t="s">
        <v>1530</v>
      </c>
      <c r="C49" s="989" t="s">
        <v>1529</v>
      </c>
      <c r="D49" s="989" t="s">
        <v>1528</v>
      </c>
      <c r="E49" s="1009" t="s">
        <v>1325</v>
      </c>
      <c r="G49" s="1169" t="s">
        <v>1507</v>
      </c>
      <c r="H49" s="1170"/>
      <c r="I49" s="1170"/>
      <c r="J49" s="1170"/>
      <c r="K49" s="1171"/>
      <c r="M49" s="990" t="s">
        <v>747</v>
      </c>
      <c r="N49" s="989" t="s">
        <v>1327</v>
      </c>
      <c r="O49" s="989" t="s">
        <v>1326</v>
      </c>
      <c r="P49" s="989" t="s">
        <v>748</v>
      </c>
      <c r="Q49" s="988" t="s">
        <v>1325</v>
      </c>
      <c r="S49" s="1025" t="s">
        <v>1527</v>
      </c>
      <c r="T49" s="1024" t="s">
        <v>1526</v>
      </c>
      <c r="U49" s="1024" t="s">
        <v>1517</v>
      </c>
      <c r="V49" s="1024">
        <v>60000</v>
      </c>
      <c r="W49" s="1024">
        <v>1</v>
      </c>
      <c r="X49" s="1024">
        <v>8</v>
      </c>
      <c r="Y49" s="1023">
        <v>0</v>
      </c>
      <c r="Z49" s="1023">
        <v>0</v>
      </c>
      <c r="AA49" s="1023">
        <v>2592</v>
      </c>
      <c r="AB49" s="1041">
        <v>4</v>
      </c>
      <c r="AC49" s="1023">
        <v>2592</v>
      </c>
      <c r="AD49" s="1023">
        <v>2056</v>
      </c>
      <c r="AE49" s="1041">
        <f>IF(D52=12,356,IF(D52=10,209,192))</f>
        <v>209</v>
      </c>
      <c r="AF49" s="1041">
        <f>76+8+2*Z49</f>
        <v>84</v>
      </c>
      <c r="AG49" s="1041">
        <v>69</v>
      </c>
      <c r="AH49" s="1041">
        <v>14802</v>
      </c>
      <c r="AI49" s="1041">
        <v>8</v>
      </c>
      <c r="AJ49" s="1041">
        <v>10000</v>
      </c>
      <c r="AK49" s="1041">
        <v>134</v>
      </c>
      <c r="AL49" s="1022" t="s">
        <v>1516</v>
      </c>
      <c r="AM49" s="1022">
        <v>8</v>
      </c>
      <c r="AN49" s="1021">
        <v>125000</v>
      </c>
      <c r="AO49" s="1021">
        <v>156250</v>
      </c>
    </row>
    <row r="50" spans="1:41" ht="33.75" hidden="1" thickBot="1">
      <c r="A50" s="1170" t="s">
        <v>1525</v>
      </c>
      <c r="B50" s="1170"/>
      <c r="C50" s="1170"/>
      <c r="D50" s="1170"/>
      <c r="E50" s="1171"/>
      <c r="G50" s="953" t="s">
        <v>1524</v>
      </c>
      <c r="H50" s="952" t="s">
        <v>1523</v>
      </c>
      <c r="I50" s="1019" t="s">
        <v>1522</v>
      </c>
      <c r="J50" s="1020">
        <f>ROUNDUP(1000000*P53/P50,0)</f>
        <v>3484</v>
      </c>
      <c r="K50" s="956" t="s">
        <v>1311</v>
      </c>
      <c r="M50" s="1058" t="s">
        <v>633</v>
      </c>
      <c r="N50" s="1056" t="s">
        <v>1521</v>
      </c>
      <c r="O50" s="1056" t="s">
        <v>1520</v>
      </c>
      <c r="P50" s="974">
        <f>VLOOKUP($C$47,$S$49:$AL$64,4,FALSE)</f>
        <v>60000</v>
      </c>
      <c r="Q50" s="959" t="s">
        <v>1455</v>
      </c>
      <c r="S50" s="1025" t="s">
        <v>1519</v>
      </c>
      <c r="T50" s="1024" t="s">
        <v>1518</v>
      </c>
      <c r="U50" s="1024" t="s">
        <v>1517</v>
      </c>
      <c r="V50" s="1024">
        <v>60000</v>
      </c>
      <c r="W50" s="1024">
        <v>1</v>
      </c>
      <c r="X50" s="1024">
        <v>8</v>
      </c>
      <c r="Y50" s="1023">
        <v>0</v>
      </c>
      <c r="Z50" s="1023">
        <v>0</v>
      </c>
      <c r="AA50" s="1023">
        <v>2080</v>
      </c>
      <c r="AB50" s="1041">
        <v>4</v>
      </c>
      <c r="AC50" s="1023">
        <v>2080</v>
      </c>
      <c r="AD50" s="1023">
        <v>1544</v>
      </c>
      <c r="AE50" s="1041">
        <f>IF(D52=12,356,IF(D52=10,209,192))</f>
        <v>209</v>
      </c>
      <c r="AF50" s="1041">
        <f>76+8+2*Z50</f>
        <v>84</v>
      </c>
      <c r="AG50" s="1041">
        <v>69</v>
      </c>
      <c r="AH50" s="1041">
        <v>14802</v>
      </c>
      <c r="AI50" s="1041">
        <v>8</v>
      </c>
      <c r="AJ50" s="1041">
        <v>10000</v>
      </c>
      <c r="AK50" s="1041">
        <v>176</v>
      </c>
      <c r="AL50" s="1022" t="s">
        <v>1516</v>
      </c>
      <c r="AM50" s="1022">
        <v>8</v>
      </c>
      <c r="AN50" s="1021">
        <v>125000</v>
      </c>
      <c r="AO50" s="1021">
        <v>156250</v>
      </c>
    </row>
    <row r="51" spans="1:41" ht="82.5" hidden="1">
      <c r="A51" s="952" t="str">
        <f>VLOOKUP($C$47,$S$49:$AL$64,20,FALSE)</f>
        <v>像素格式(8/10/12)</v>
      </c>
      <c r="B51" s="952" t="s">
        <v>1515</v>
      </c>
      <c r="C51" s="952">
        <v>8</v>
      </c>
      <c r="D51" s="1078">
        <f>B13</f>
        <v>8</v>
      </c>
      <c r="E51" s="950" t="s">
        <v>1275</v>
      </c>
      <c r="G51" s="953" t="s">
        <v>1514</v>
      </c>
      <c r="H51" s="952" t="s">
        <v>1513</v>
      </c>
      <c r="I51" s="1019" t="s">
        <v>1512</v>
      </c>
      <c r="J51" s="951">
        <f>IF(D57="Ultra Short",MAX(J54,J55,J56,J57),IF(D55="TriggerWidth",ROUNDUP(MAX(J54,J79,J56)*J50/1000,0),ROUNDUP(MAX(J54,J55,J56,J57)*J50/1000,0)))</f>
        <v>10233</v>
      </c>
      <c r="K51" s="956" t="s">
        <v>1286</v>
      </c>
      <c r="M51" s="962" t="s">
        <v>1511</v>
      </c>
      <c r="N51" s="961" t="s">
        <v>1510</v>
      </c>
      <c r="O51" s="1056" t="s">
        <v>1456</v>
      </c>
      <c r="P51" s="974">
        <f>VLOOKUP($C$47,$S$49:$AL$64,7,FALSE)</f>
        <v>0</v>
      </c>
      <c r="Q51" s="959" t="s">
        <v>1384</v>
      </c>
      <c r="S51" s="1076"/>
      <c r="T51" s="1076"/>
      <c r="U51" s="1076"/>
      <c r="V51" s="1077"/>
      <c r="W51" s="1076"/>
      <c r="X51" s="1076"/>
      <c r="Y51" s="1076"/>
      <c r="Z51" s="1076"/>
      <c r="AA51" s="1076"/>
      <c r="AB51" s="1076"/>
      <c r="AC51" s="1076"/>
      <c r="AD51" s="1076"/>
      <c r="AE51" s="1077"/>
      <c r="AF51" s="1076"/>
      <c r="AG51" s="1076"/>
      <c r="AH51" s="1076"/>
      <c r="AI51" s="1076"/>
      <c r="AJ51" s="1076"/>
      <c r="AK51" s="1076"/>
      <c r="AL51" s="1076"/>
      <c r="AM51" s="1076"/>
      <c r="AN51" s="1076"/>
      <c r="AO51" s="1076"/>
    </row>
    <row r="52" spans="1:41" ht="33" hidden="1">
      <c r="A52" s="952" t="s">
        <v>787</v>
      </c>
      <c r="B52" s="952" t="s">
        <v>1509</v>
      </c>
      <c r="C52" s="952">
        <v>10</v>
      </c>
      <c r="D52" s="1078">
        <f>B12</f>
        <v>10</v>
      </c>
      <c r="E52" s="950" t="s">
        <v>1275</v>
      </c>
      <c r="G52" s="953" t="s">
        <v>1508</v>
      </c>
      <c r="H52" s="952" t="s">
        <v>1507</v>
      </c>
      <c r="I52" s="1019" t="s">
        <v>1506</v>
      </c>
      <c r="J52" s="951">
        <f>1000000/J51</f>
        <v>97.723052868171607</v>
      </c>
      <c r="K52" s="956" t="s">
        <v>1266</v>
      </c>
      <c r="M52" s="962" t="s">
        <v>1505</v>
      </c>
      <c r="N52" s="961" t="s">
        <v>788</v>
      </c>
      <c r="O52" s="1056" t="s">
        <v>1456</v>
      </c>
      <c r="P52" s="974">
        <f>VLOOKUP($C$47,$S$49:$AL$64,8,FALSE)</f>
        <v>0</v>
      </c>
      <c r="Q52" s="959" t="s">
        <v>1384</v>
      </c>
      <c r="S52" s="1076"/>
      <c r="T52" s="1076"/>
      <c r="U52" s="1076"/>
      <c r="V52" s="1077"/>
      <c r="W52" s="1076"/>
      <c r="X52" s="1076"/>
      <c r="Y52" s="1076"/>
      <c r="Z52" s="1076"/>
      <c r="AA52" s="1076"/>
      <c r="AB52" s="1076"/>
      <c r="AC52" s="1076"/>
      <c r="AD52" s="1076"/>
      <c r="AE52" s="1077"/>
      <c r="AF52" s="1076"/>
      <c r="AG52" s="1076"/>
      <c r="AH52" s="1076"/>
      <c r="AI52" s="1076"/>
      <c r="AJ52" s="1076"/>
      <c r="AK52" s="1076"/>
      <c r="AL52" s="1076"/>
      <c r="AM52" s="1076"/>
      <c r="AN52" s="1076"/>
      <c r="AO52" s="1076"/>
    </row>
    <row r="53" spans="1:41" hidden="1">
      <c r="A53" s="1170" t="s">
        <v>1476</v>
      </c>
      <c r="B53" s="1170"/>
      <c r="C53" s="1170"/>
      <c r="D53" s="1170"/>
      <c r="E53" s="1171"/>
      <c r="G53" s="1169" t="s">
        <v>1504</v>
      </c>
      <c r="H53" s="1170"/>
      <c r="I53" s="1170"/>
      <c r="J53" s="1170"/>
      <c r="K53" s="1171"/>
      <c r="M53" s="962" t="s">
        <v>1503</v>
      </c>
      <c r="N53" s="939" t="s">
        <v>1502</v>
      </c>
      <c r="O53" s="1043" t="s">
        <v>1456</v>
      </c>
      <c r="P53" s="954">
        <f>VLOOKUP($C$47,$S$49:$AL$64,13,FALSE)</f>
        <v>209</v>
      </c>
      <c r="Q53" s="937" t="s">
        <v>789</v>
      </c>
      <c r="S53" s="1076"/>
      <c r="T53" s="1076"/>
      <c r="U53" s="1076"/>
      <c r="V53" s="1077"/>
      <c r="W53" s="1076"/>
      <c r="X53" s="1076"/>
      <c r="Y53" s="1076"/>
      <c r="Z53" s="1076"/>
      <c r="AA53" s="1076"/>
      <c r="AB53" s="1076"/>
      <c r="AC53" s="1076"/>
      <c r="AD53" s="1076"/>
      <c r="AE53" s="1077"/>
      <c r="AF53" s="1076"/>
      <c r="AG53" s="1076"/>
      <c r="AH53" s="1076"/>
      <c r="AI53" s="1076"/>
      <c r="AJ53" s="1076"/>
      <c r="AK53" s="1076"/>
      <c r="AL53" s="1076"/>
      <c r="AM53" s="1076"/>
      <c r="AN53" s="1076"/>
      <c r="AO53" s="1076"/>
    </row>
    <row r="54" spans="1:41" ht="49.5" hidden="1">
      <c r="A54" s="952" t="s">
        <v>1501</v>
      </c>
      <c r="B54" s="952" t="s">
        <v>1500</v>
      </c>
      <c r="C54" s="952" t="s">
        <v>1499</v>
      </c>
      <c r="D54" s="975">
        <v>0</v>
      </c>
      <c r="E54" s="950" t="s">
        <v>1275</v>
      </c>
      <c r="G54" s="953" t="s">
        <v>1498</v>
      </c>
      <c r="H54" s="952" t="s">
        <v>1497</v>
      </c>
      <c r="I54" s="1057" t="s">
        <v>1496</v>
      </c>
      <c r="J54" s="951">
        <f>IF(D57="Ultra Short",ROUNDUP((D70*D85+P54+2)*J50/1000,0),IF(D54=1,D70*D85+P54+J55,D70*D85+P54))</f>
        <v>1628</v>
      </c>
      <c r="K54" s="1012" t="str">
        <f>IF(D57="Ultra Short","us","line")</f>
        <v>line</v>
      </c>
      <c r="M54" s="962" t="s">
        <v>1495</v>
      </c>
      <c r="N54" s="961" t="s">
        <v>1494</v>
      </c>
      <c r="O54" s="1056" t="s">
        <v>1456</v>
      </c>
      <c r="P54" s="974">
        <f>VLOOKUP($C$47,$S$49:$AL$64,14,FALSE)</f>
        <v>84</v>
      </c>
      <c r="Q54" s="1075" t="s">
        <v>1298</v>
      </c>
      <c r="S54" s="932"/>
      <c r="T54" s="932"/>
      <c r="U54" s="932"/>
      <c r="V54" s="932"/>
      <c r="W54" s="932"/>
      <c r="X54" s="932"/>
    </row>
    <row r="55" spans="1:41" ht="49.5" hidden="1">
      <c r="A55" s="952" t="s">
        <v>1493</v>
      </c>
      <c r="B55" s="952" t="s">
        <v>1492</v>
      </c>
      <c r="C55" s="952" t="s">
        <v>1491</v>
      </c>
      <c r="D55" s="975" t="s">
        <v>134</v>
      </c>
      <c r="E55" s="950" t="s">
        <v>1275</v>
      </c>
      <c r="G55" s="1051" t="s">
        <v>1490</v>
      </c>
      <c r="H55" s="1057" t="s">
        <v>1489</v>
      </c>
      <c r="I55" s="1057" t="s">
        <v>1488</v>
      </c>
      <c r="J55" s="951">
        <f>IF(D57="Ultra Short",J61+J62+J65+20,J61+IF(D74=1,0,J62)+P55)</f>
        <v>2937</v>
      </c>
      <c r="K55" s="1012" t="str">
        <f>IF(D57="Ultra Short","us","line")</f>
        <v>line</v>
      </c>
      <c r="M55" s="1058" t="s">
        <v>1487</v>
      </c>
      <c r="N55" s="1056" t="s">
        <v>1486</v>
      </c>
      <c r="O55" s="1056" t="s">
        <v>1456</v>
      </c>
      <c r="P55" s="974">
        <f>VLOOKUP($C$47,$S$49:$AL$64,15,FALSE)</f>
        <v>69</v>
      </c>
      <c r="Q55" s="1075" t="s">
        <v>1298</v>
      </c>
      <c r="S55" s="932"/>
      <c r="T55" s="932"/>
      <c r="U55" s="932"/>
      <c r="V55" s="932"/>
      <c r="W55" s="932"/>
      <c r="X55" s="932"/>
    </row>
    <row r="56" spans="1:41" ht="66" hidden="1">
      <c r="A56" s="952" t="str">
        <f>"交叠曝光时间
(0-"&amp;INT((J54-P55)*J50/1000)&amp;")"</f>
        <v>交叠曝光时间
(0-5431)</v>
      </c>
      <c r="B56" s="952" t="s">
        <v>1485</v>
      </c>
      <c r="C56" s="952">
        <f>INT((VLOOKUP($C$47,$S$49:$AO$65,12,FALSE)+VLOOKUP($C$47,$S$49:$AO$65,14,FALSE)-P55)*ROUNDUP(1000000*VLOOKUP($C$47,$S$49:$AO$65,13,FALSE)/P50,0)/1000)</f>
        <v>5431</v>
      </c>
      <c r="D56" s="975">
        <v>8016</v>
      </c>
      <c r="E56" s="950" t="s">
        <v>1286</v>
      </c>
      <c r="G56" s="953" t="s">
        <v>790</v>
      </c>
      <c r="H56" s="952" t="s">
        <v>791</v>
      </c>
      <c r="I56" s="952" t="s">
        <v>792</v>
      </c>
      <c r="J56" s="951">
        <f>IF(D57="Ultra Short",ROUNDUP((1000000/D82)*D81,0),ROUNDUP(((1000000000/D82)/J50)*D81,0))</f>
        <v>0</v>
      </c>
      <c r="K56" s="1012" t="str">
        <f>IF(D57="Ultra Short","us","line")</f>
        <v>line</v>
      </c>
      <c r="M56" s="953" t="s">
        <v>1484</v>
      </c>
      <c r="N56" s="952" t="s">
        <v>1483</v>
      </c>
      <c r="O56" s="1056" t="s">
        <v>1456</v>
      </c>
      <c r="P56" s="974">
        <f>VLOOKUP($C$47,$S$49:$AN$64,16,FALSE)</f>
        <v>14802</v>
      </c>
      <c r="Q56" s="956" t="s">
        <v>1311</v>
      </c>
      <c r="S56" s="932"/>
      <c r="T56" s="932"/>
      <c r="U56" s="932"/>
      <c r="V56" s="932"/>
      <c r="W56" s="932"/>
      <c r="X56" s="932"/>
    </row>
    <row r="57" spans="1:41" ht="66" hidden="1">
      <c r="A57" s="952" t="s">
        <v>1482</v>
      </c>
      <c r="B57" s="952" t="s">
        <v>1481</v>
      </c>
      <c r="C57" s="952" t="s">
        <v>1446</v>
      </c>
      <c r="D57" s="975" t="str">
        <f>B9</f>
        <v>Standard</v>
      </c>
      <c r="E57" s="950" t="s">
        <v>1275</v>
      </c>
      <c r="G57" s="953" t="s">
        <v>1480</v>
      </c>
      <c r="H57" s="952" t="s">
        <v>1479</v>
      </c>
      <c r="I57" s="1057" t="s">
        <v>1478</v>
      </c>
      <c r="J57" s="951">
        <f>MAX(J58,J59)</f>
        <v>795</v>
      </c>
      <c r="K57" s="1012" t="str">
        <f>IF(D57="Ultra Short","us","line")</f>
        <v>line</v>
      </c>
      <c r="M57" s="953" t="s">
        <v>1477</v>
      </c>
      <c r="N57" s="952" t="s">
        <v>793</v>
      </c>
      <c r="O57" s="1056" t="s">
        <v>1456</v>
      </c>
      <c r="P57" s="974">
        <f>VLOOKUP($C$47,$S$49:$AL$64,5,FALSE)</f>
        <v>1</v>
      </c>
      <c r="Q57" s="956" t="s">
        <v>1460</v>
      </c>
      <c r="S57" s="932"/>
      <c r="T57" s="932"/>
      <c r="U57" s="932"/>
      <c r="V57" s="932"/>
      <c r="W57" s="932"/>
      <c r="X57" s="932"/>
    </row>
    <row r="58" spans="1:41" hidden="1">
      <c r="A58" s="952" t="s">
        <v>1476</v>
      </c>
      <c r="B58" s="952" t="s">
        <v>1475</v>
      </c>
      <c r="C58" s="952">
        <f>VLOOKUP($C$47,$S$49:$AL$64,18,FALSE)</f>
        <v>10000</v>
      </c>
      <c r="D58" s="975">
        <v>10000</v>
      </c>
      <c r="E58" s="950" t="s">
        <v>1286</v>
      </c>
      <c r="G58" s="953"/>
      <c r="H58" s="952" t="s">
        <v>1474</v>
      </c>
      <c r="I58" s="1057" t="s">
        <v>794</v>
      </c>
      <c r="J58" s="951">
        <f>IF(D62=0,P92,IF(D63="Standard",P94,0))</f>
        <v>795</v>
      </c>
      <c r="K58" s="1012" t="str">
        <f>IF(D57="Ultra Short","us","line")</f>
        <v>line</v>
      </c>
      <c r="M58" s="953" t="s">
        <v>1473</v>
      </c>
      <c r="N58" s="952" t="s">
        <v>1472</v>
      </c>
      <c r="O58" s="1056" t="s">
        <v>1456</v>
      </c>
      <c r="P58" s="974">
        <f>VLOOKUP($C$47,$S$49:$AL$64,6,FALSE)</f>
        <v>8</v>
      </c>
      <c r="Q58" s="956" t="s">
        <v>1460</v>
      </c>
    </row>
    <row r="59" spans="1:41" ht="82.5" hidden="1">
      <c r="A59" s="952" t="s">
        <v>1471</v>
      </c>
      <c r="B59" s="952" t="s">
        <v>1470</v>
      </c>
      <c r="C59" s="952">
        <v>0</v>
      </c>
      <c r="D59" s="975">
        <v>0</v>
      </c>
      <c r="E59" s="950" t="s">
        <v>1286</v>
      </c>
      <c r="G59" s="953"/>
      <c r="H59" s="952" t="s">
        <v>1469</v>
      </c>
      <c r="I59" s="1057" t="s">
        <v>1468</v>
      </c>
      <c r="J59" s="951">
        <f>IF(C47="MARS-533-134GTM-TN-SWIR",IF(D76=10000,ROUNDUP(J58*10000/9040,0),0),0)</f>
        <v>0</v>
      </c>
      <c r="K59" s="1012" t="str">
        <f>IF(D58="Ultra Short","us","line")</f>
        <v>line</v>
      </c>
      <c r="M59" s="953" t="s">
        <v>1467</v>
      </c>
      <c r="N59" s="952" t="s">
        <v>1466</v>
      </c>
      <c r="O59" s="1056" t="s">
        <v>1456</v>
      </c>
      <c r="P59" s="974">
        <f>VLOOKUP($C$47,$S$49:$AL$64,11,FALSE)</f>
        <v>2080</v>
      </c>
      <c r="Q59" s="959" t="s">
        <v>1384</v>
      </c>
    </row>
    <row r="60" spans="1:41" ht="66" hidden="1">
      <c r="A60" s="1015" t="s">
        <v>1465</v>
      </c>
      <c r="B60" s="952" t="s">
        <v>1464</v>
      </c>
      <c r="C60" s="952" t="s">
        <v>1275</v>
      </c>
      <c r="D60" s="975">
        <v>2000</v>
      </c>
      <c r="E60" s="950" t="s">
        <v>1286</v>
      </c>
      <c r="G60" s="1169" t="s">
        <v>1463</v>
      </c>
      <c r="H60" s="1170"/>
      <c r="I60" s="1170"/>
      <c r="J60" s="1170"/>
      <c r="K60" s="1171"/>
      <c r="M60" s="953" t="s">
        <v>1462</v>
      </c>
      <c r="N60" s="952" t="s">
        <v>1461</v>
      </c>
      <c r="O60" s="1056" t="s">
        <v>1456</v>
      </c>
      <c r="P60" s="974">
        <f>VLOOKUP($C$47,$S$49:$AN$64,21,FALSE)</f>
        <v>8</v>
      </c>
      <c r="Q60" s="956" t="s">
        <v>1460</v>
      </c>
    </row>
    <row r="61" spans="1:41" ht="49.5" hidden="1">
      <c r="A61" s="1193" t="s">
        <v>1454</v>
      </c>
      <c r="B61" s="1191"/>
      <c r="C61" s="1191"/>
      <c r="D61" s="1191"/>
      <c r="E61" s="1192"/>
      <c r="G61" s="955" t="s">
        <v>1459</v>
      </c>
      <c r="H61" s="939" t="s">
        <v>1458</v>
      </c>
      <c r="I61" s="939" t="s">
        <v>1457</v>
      </c>
      <c r="J61" s="954">
        <f>IF(D57="Ultra Short",IF(D58&gt;14,ROUNDUP((1000*D58-P56)/1000,0),1),INT((MAX(ROUNDUP(((1000*D58-P56)/J50),0),1)+1)/2)*2)</f>
        <v>2868</v>
      </c>
      <c r="K61" s="1016" t="str">
        <f>IF(D57="Ultra Short","us","line")</f>
        <v>line</v>
      </c>
      <c r="M61" s="953" t="s">
        <v>795</v>
      </c>
      <c r="N61" s="952" t="s">
        <v>796</v>
      </c>
      <c r="O61" s="1056" t="s">
        <v>1456</v>
      </c>
      <c r="P61" s="974">
        <f>VLOOKUP($C$47,$S$49:$AN$64,22,FALSE)</f>
        <v>125000</v>
      </c>
      <c r="Q61" s="956" t="s">
        <v>1455</v>
      </c>
      <c r="V61" s="1049"/>
    </row>
    <row r="62" spans="1:41" ht="33" hidden="1">
      <c r="A62" s="953" t="s">
        <v>1454</v>
      </c>
      <c r="B62" s="952" t="s">
        <v>1453</v>
      </c>
      <c r="C62" s="952">
        <v>0</v>
      </c>
      <c r="D62" s="975">
        <v>0</v>
      </c>
      <c r="E62" s="1014" t="s">
        <v>1275</v>
      </c>
      <c r="G62" s="953" t="s">
        <v>1452</v>
      </c>
      <c r="H62" s="952" t="s">
        <v>1451</v>
      </c>
      <c r="I62" s="952" t="s">
        <v>1450</v>
      </c>
      <c r="J62" s="951">
        <f>IF(D57="Ultra Short",D59,ROUNDUP(((1000*D59)/J50),0))</f>
        <v>0</v>
      </c>
      <c r="K62" s="1012" t="str">
        <f>IF(D57="Ultra Short","us","line")</f>
        <v>line</v>
      </c>
      <c r="M62" s="1169" t="s">
        <v>1449</v>
      </c>
      <c r="N62" s="1170"/>
      <c r="O62" s="1170"/>
      <c r="P62" s="1170"/>
      <c r="Q62" s="1171"/>
      <c r="V62" s="1049"/>
    </row>
    <row r="63" spans="1:41" ht="33" hidden="1">
      <c r="A63" s="1013" t="s">
        <v>1448</v>
      </c>
      <c r="B63" s="952" t="s">
        <v>1447</v>
      </c>
      <c r="C63" s="952" t="s">
        <v>1569</v>
      </c>
      <c r="D63" s="975" t="s">
        <v>1570</v>
      </c>
      <c r="E63" s="950" t="s">
        <v>1275</v>
      </c>
      <c r="G63" s="953" t="s">
        <v>797</v>
      </c>
      <c r="H63" s="952" t="s">
        <v>798</v>
      </c>
      <c r="I63" s="952">
        <v>0</v>
      </c>
      <c r="J63" s="951">
        <v>0</v>
      </c>
      <c r="K63" s="956" t="s">
        <v>1286</v>
      </c>
      <c r="M63" s="990" t="s">
        <v>747</v>
      </c>
      <c r="N63" s="989" t="s">
        <v>1327</v>
      </c>
      <c r="O63" s="989" t="s">
        <v>1326</v>
      </c>
      <c r="P63" s="989" t="s">
        <v>748</v>
      </c>
      <c r="Q63" s="988" t="s">
        <v>1325</v>
      </c>
      <c r="V63" s="1049"/>
    </row>
    <row r="64" spans="1:41" ht="49.5" hidden="1">
      <c r="A64" s="1170" t="s">
        <v>1445</v>
      </c>
      <c r="B64" s="1170"/>
      <c r="C64" s="1170"/>
      <c r="D64" s="1170"/>
      <c r="E64" s="1171"/>
      <c r="G64" s="953" t="s">
        <v>799</v>
      </c>
      <c r="H64" s="952" t="s">
        <v>1444</v>
      </c>
      <c r="I64" s="952" t="s">
        <v>1443</v>
      </c>
      <c r="J64" s="951">
        <f>IF(D57="Ultra Short",IF((D58+4)&gt;100,(D58+4),100),IF((D58+4*J50/1000)&gt;100,(D58+4*J50/1000),100))</f>
        <v>10013.936</v>
      </c>
      <c r="K64" s="956" t="s">
        <v>1286</v>
      </c>
      <c r="M64" s="962" t="s">
        <v>1442</v>
      </c>
      <c r="N64" s="961" t="s">
        <v>1441</v>
      </c>
      <c r="O64" s="961" t="s">
        <v>1440</v>
      </c>
      <c r="P64" s="974">
        <v>7</v>
      </c>
      <c r="Q64" s="959" t="s">
        <v>1231</v>
      </c>
      <c r="S64" s="1050"/>
      <c r="T64" s="1049"/>
      <c r="U64" s="1049"/>
      <c r="V64" s="1049"/>
      <c r="W64" s="1049"/>
      <c r="Z64" s="1049"/>
    </row>
    <row r="65" spans="1:36" ht="66.75" hidden="1" thickBot="1">
      <c r="A65" s="952" t="s">
        <v>749</v>
      </c>
      <c r="B65" s="952" t="s">
        <v>750</v>
      </c>
      <c r="C65" s="952">
        <v>0</v>
      </c>
      <c r="D65" s="975">
        <f>B14</f>
        <v>0</v>
      </c>
      <c r="E65" s="950" t="s">
        <v>1286</v>
      </c>
      <c r="G65" s="953" t="s">
        <v>1282</v>
      </c>
      <c r="H65" s="952" t="s">
        <v>1439</v>
      </c>
      <c r="I65" s="952" t="s">
        <v>746</v>
      </c>
      <c r="J65" s="1054">
        <f>IF(D57="Ultra Short",ROUNDUP((VLOOKUP($C$47,$S$49:$AL$64,17,FALSE)+11+D70*D85)*J50/1000,0),VLOOKUP($C$47,$S$49:$AL$64,17,FALSE)+11+D70*D85)</f>
        <v>1563</v>
      </c>
      <c r="K65" s="1012" t="str">
        <f>IF(D57="Ultra Short","us","line")</f>
        <v>line</v>
      </c>
      <c r="M65" s="962" t="s">
        <v>1438</v>
      </c>
      <c r="N65" s="961" t="s">
        <v>1437</v>
      </c>
      <c r="O65" s="961" t="s">
        <v>1436</v>
      </c>
      <c r="P65" s="974">
        <v>1</v>
      </c>
      <c r="Q65" s="959" t="s">
        <v>1231</v>
      </c>
      <c r="S65" s="1050"/>
      <c r="T65" s="1049"/>
      <c r="U65" s="1049"/>
      <c r="V65" s="1049"/>
      <c r="W65" s="1049"/>
      <c r="Z65" s="1049"/>
    </row>
    <row r="66" spans="1:36" ht="27" hidden="1">
      <c r="A66" s="1170" t="s">
        <v>1435</v>
      </c>
      <c r="B66" s="1170"/>
      <c r="C66" s="1170"/>
      <c r="D66" s="1170"/>
      <c r="E66" s="1171"/>
      <c r="G66" s="1169" t="s">
        <v>1434</v>
      </c>
      <c r="H66" s="1170"/>
      <c r="I66" s="1170"/>
      <c r="J66" s="1170"/>
      <c r="K66" s="1171"/>
      <c r="M66" s="962" t="s">
        <v>753</v>
      </c>
      <c r="N66" s="961" t="s">
        <v>1433</v>
      </c>
      <c r="O66" s="961" t="s">
        <v>1432</v>
      </c>
      <c r="P66" s="974">
        <v>14</v>
      </c>
      <c r="Q66" s="959" t="s">
        <v>1231</v>
      </c>
      <c r="S66" s="1186" t="s">
        <v>1431</v>
      </c>
      <c r="T66" s="1187"/>
      <c r="U66" s="1187"/>
      <c r="V66" s="1187"/>
      <c r="W66" s="1187"/>
      <c r="X66" s="1188"/>
      <c r="Z66" s="1069" t="s">
        <v>1430</v>
      </c>
      <c r="AA66" s="1069"/>
      <c r="AB66" s="1072"/>
      <c r="AC66" s="1072"/>
      <c r="AD66" s="1072"/>
      <c r="AE66" s="1072"/>
      <c r="AF66" s="1072"/>
      <c r="AG66" s="1072"/>
      <c r="AH66" s="1072"/>
      <c r="AI66" s="1072"/>
      <c r="AJ66" s="1072"/>
    </row>
    <row r="67" spans="1:36" hidden="1">
      <c r="A67" s="952" t="s">
        <v>754</v>
      </c>
      <c r="B67" s="952" t="s">
        <v>1429</v>
      </c>
      <c r="C67" s="952">
        <v>0</v>
      </c>
      <c r="D67" s="975">
        <v>0</v>
      </c>
      <c r="E67" s="950" t="s">
        <v>1384</v>
      </c>
      <c r="G67" s="953" t="s">
        <v>1428</v>
      </c>
      <c r="H67" s="952" t="s">
        <v>1427</v>
      </c>
      <c r="I67" s="952" t="s">
        <v>751</v>
      </c>
      <c r="J67" s="1054">
        <f>J52*P80</f>
        <v>313839538.74719048</v>
      </c>
      <c r="K67" s="956" t="s">
        <v>1396</v>
      </c>
      <c r="M67" s="962" t="s">
        <v>1426</v>
      </c>
      <c r="N67" s="961" t="s">
        <v>1425</v>
      </c>
      <c r="O67" s="961" t="s">
        <v>1424</v>
      </c>
      <c r="P67" s="974">
        <v>20</v>
      </c>
      <c r="Q67" s="959" t="s">
        <v>1231</v>
      </c>
      <c r="S67" s="1169" t="s">
        <v>1423</v>
      </c>
      <c r="T67" s="1170"/>
      <c r="U67" s="1170"/>
      <c r="V67" s="1170"/>
      <c r="W67" s="1170"/>
      <c r="X67" s="1171"/>
      <c r="Y67" s="1049"/>
      <c r="Z67" s="1069"/>
      <c r="AA67" s="1068" t="s">
        <v>1422</v>
      </c>
      <c r="AB67" s="1074" t="s">
        <v>1421</v>
      </c>
      <c r="AC67" s="1074" t="s">
        <v>1420</v>
      </c>
      <c r="AD67" s="1074" t="s">
        <v>1419</v>
      </c>
      <c r="AE67" s="1070" t="s">
        <v>1418</v>
      </c>
      <c r="AF67" s="1070" t="s">
        <v>1417</v>
      </c>
      <c r="AG67" s="1070" t="s">
        <v>1416</v>
      </c>
      <c r="AH67" s="1070" t="s">
        <v>1415</v>
      </c>
      <c r="AI67" s="1070" t="s">
        <v>1414</v>
      </c>
      <c r="AJ67" s="1070" t="s">
        <v>1413</v>
      </c>
    </row>
    <row r="68" spans="1:36" ht="33" hidden="1">
      <c r="A68" s="952" t="s">
        <v>1412</v>
      </c>
      <c r="B68" s="952" t="s">
        <v>1411</v>
      </c>
      <c r="C68" s="952">
        <v>0</v>
      </c>
      <c r="D68" s="975">
        <v>0</v>
      </c>
      <c r="E68" s="950" t="s">
        <v>1384</v>
      </c>
      <c r="G68" s="1011" t="s">
        <v>752</v>
      </c>
      <c r="H68" s="926" t="s">
        <v>1410</v>
      </c>
      <c r="I68" s="952" t="s">
        <v>1409</v>
      </c>
      <c r="J68" s="951">
        <f>J52*P88</f>
        <v>327132610.18274212</v>
      </c>
      <c r="K68" s="956" t="s">
        <v>1396</v>
      </c>
      <c r="M68" s="962" t="s">
        <v>1408</v>
      </c>
      <c r="N68" s="961" t="s">
        <v>1407</v>
      </c>
      <c r="O68" s="961" t="s">
        <v>1393</v>
      </c>
      <c r="P68" s="974">
        <v>8</v>
      </c>
      <c r="Q68" s="959" t="s">
        <v>1231</v>
      </c>
      <c r="S68" s="990" t="s">
        <v>1406</v>
      </c>
      <c r="T68" s="989" t="s">
        <v>1327</v>
      </c>
      <c r="U68" s="989" t="s">
        <v>1405</v>
      </c>
      <c r="V68" s="989" t="s">
        <v>1326</v>
      </c>
      <c r="W68" s="989" t="s">
        <v>1404</v>
      </c>
      <c r="X68" s="1009" t="s">
        <v>1403</v>
      </c>
      <c r="Y68" s="1049"/>
      <c r="Z68" s="1069"/>
      <c r="AA68" s="1068" t="s">
        <v>1402</v>
      </c>
      <c r="AB68" s="1070">
        <f>P50/1000</f>
        <v>60</v>
      </c>
      <c r="AC68" s="1068">
        <v>8</v>
      </c>
      <c r="AD68" s="1068">
        <v>2592</v>
      </c>
      <c r="AE68" s="1073">
        <f>P53</f>
        <v>209</v>
      </c>
      <c r="AF68" s="1068">
        <f>AE68*1000/AB68</f>
        <v>3483.3333333333335</v>
      </c>
      <c r="AG68" s="1068"/>
      <c r="AH68" s="1068"/>
      <c r="AI68" s="1068"/>
      <c r="AJ68" s="1068"/>
    </row>
    <row r="69" spans="1:36" ht="17.25" hidden="1" thickBot="1">
      <c r="A69" s="952" t="s">
        <v>1401</v>
      </c>
      <c r="B69" s="952" t="s">
        <v>1400</v>
      </c>
      <c r="C69" s="952">
        <f>VLOOKUP($C$47,$S$49:$AL$64,9,FALSE)</f>
        <v>2080</v>
      </c>
      <c r="D69" s="1078">
        <f>B4</f>
        <v>2080</v>
      </c>
      <c r="E69" s="950" t="s">
        <v>1384</v>
      </c>
      <c r="G69" s="1011" t="s">
        <v>1399</v>
      </c>
      <c r="H69" s="926" t="s">
        <v>1398</v>
      </c>
      <c r="I69" s="952" t="s">
        <v>1397</v>
      </c>
      <c r="J69" s="951">
        <f>1250*D76*(100-D79)</f>
        <v>1225000000</v>
      </c>
      <c r="K69" s="956" t="s">
        <v>1396</v>
      </c>
      <c r="M69" s="962" t="s">
        <v>1395</v>
      </c>
      <c r="N69" s="961" t="s">
        <v>1394</v>
      </c>
      <c r="O69" s="961" t="s">
        <v>1393</v>
      </c>
      <c r="P69" s="974">
        <v>8</v>
      </c>
      <c r="Q69" s="959" t="s">
        <v>1231</v>
      </c>
      <c r="S69" s="953" t="s">
        <v>1392</v>
      </c>
      <c r="T69" s="952" t="s">
        <v>1391</v>
      </c>
      <c r="U69" s="952" t="s">
        <v>1390</v>
      </c>
      <c r="V69" s="952" t="s">
        <v>1389</v>
      </c>
      <c r="W69" s="951" t="str">
        <f>"0x"&amp;DEC2HEX(IF(D57="Ultra Short",P50/1000,P53))</f>
        <v>0xD1</v>
      </c>
      <c r="X69" s="1189" t="s">
        <v>1388</v>
      </c>
      <c r="Y69" s="1049"/>
      <c r="Z69" s="1069"/>
      <c r="AA69" s="1068" t="s">
        <v>1387</v>
      </c>
      <c r="AB69" s="1070">
        <f>AB68*22/8</f>
        <v>165</v>
      </c>
      <c r="AC69" s="1068">
        <v>8</v>
      </c>
      <c r="AD69" s="1068">
        <v>2592</v>
      </c>
      <c r="AE69" s="1068">
        <f>AF69/(1000/AB69)</f>
        <v>574.75</v>
      </c>
      <c r="AF69" s="1068">
        <f>AF68</f>
        <v>3483.3333333333335</v>
      </c>
      <c r="AG69" s="1068">
        <f>AD69/AC69</f>
        <v>324</v>
      </c>
      <c r="AH69" s="1068">
        <f>AG69*1000/AB69</f>
        <v>1963.6363636363637</v>
      </c>
      <c r="AI69" s="1068">
        <f>AE69-AG69</f>
        <v>250.75</v>
      </c>
      <c r="AJ69" s="1068">
        <f>AI69*1000/AB69</f>
        <v>1519.6969696969697</v>
      </c>
    </row>
    <row r="70" spans="1:36" ht="17.25" hidden="1" thickBot="1">
      <c r="A70" s="952" t="s">
        <v>1386</v>
      </c>
      <c r="B70" s="952" t="s">
        <v>1385</v>
      </c>
      <c r="C70" s="952">
        <f>VLOOKUP($C$47,$S$49:$AL$64,12,FALSE)</f>
        <v>1544</v>
      </c>
      <c r="D70" s="1078">
        <f>B5</f>
        <v>1544</v>
      </c>
      <c r="E70" s="950" t="s">
        <v>1384</v>
      </c>
      <c r="G70" s="1166" t="s">
        <v>219</v>
      </c>
      <c r="H70" s="1167"/>
      <c r="I70" s="1167"/>
      <c r="J70" s="1167"/>
      <c r="K70" s="1168"/>
      <c r="M70" s="962" t="s">
        <v>1383</v>
      </c>
      <c r="N70" s="961" t="s">
        <v>1382</v>
      </c>
      <c r="O70" s="961" t="s">
        <v>1381</v>
      </c>
      <c r="P70" s="974">
        <v>4</v>
      </c>
      <c r="Q70" s="959" t="s">
        <v>1231</v>
      </c>
      <c r="S70" s="953" t="s">
        <v>1380</v>
      </c>
      <c r="T70" s="952" t="s">
        <v>1379</v>
      </c>
      <c r="U70" s="952" t="s">
        <v>1378</v>
      </c>
      <c r="V70" s="952" t="s">
        <v>1377</v>
      </c>
      <c r="W70" s="951" t="str">
        <f>"0x"&amp;DEC2HEX(J62)</f>
        <v>0x0</v>
      </c>
      <c r="X70" s="1189"/>
      <c r="Y70" s="1049"/>
      <c r="Z70" s="1069"/>
      <c r="AA70" s="1070" t="s">
        <v>1376</v>
      </c>
      <c r="AB70" s="1070">
        <v>156.25</v>
      </c>
      <c r="AC70" s="1068">
        <v>8</v>
      </c>
      <c r="AD70" s="1068">
        <v>2592</v>
      </c>
      <c r="AE70" s="1068">
        <f>AF70/(1000/AB70)</f>
        <v>544.27083333333337</v>
      </c>
      <c r="AF70" s="1068">
        <f>AF68</f>
        <v>3483.3333333333335</v>
      </c>
      <c r="AG70" s="1068">
        <f>AD70/AC70</f>
        <v>324</v>
      </c>
      <c r="AH70" s="1068">
        <f>AG70*1000/AB70</f>
        <v>2073.6</v>
      </c>
      <c r="AI70" s="1068">
        <f>AE70-AG70</f>
        <v>220.27083333333337</v>
      </c>
      <c r="AJ70" s="1068">
        <f>AI70*1000/AB70</f>
        <v>1409.7333333333336</v>
      </c>
    </row>
    <row r="71" spans="1:36" ht="115.5" hidden="1">
      <c r="A71" s="1190" t="s">
        <v>1375</v>
      </c>
      <c r="B71" s="1191"/>
      <c r="C71" s="1191"/>
      <c r="D71" s="1191"/>
      <c r="E71" s="1192"/>
      <c r="G71" s="1007" t="s">
        <v>224</v>
      </c>
      <c r="H71" s="927" t="s">
        <v>225</v>
      </c>
      <c r="I71" s="947" t="s">
        <v>226</v>
      </c>
      <c r="J71" s="1006">
        <f>IF(D76=10000,0,IF(D76=5000,1,IF(D76=2500,2,IF(D76=1000,3,3))))</f>
        <v>0</v>
      </c>
      <c r="K71" s="945" t="s">
        <v>163</v>
      </c>
      <c r="M71" s="962" t="s">
        <v>1374</v>
      </c>
      <c r="N71" s="961" t="s">
        <v>1373</v>
      </c>
      <c r="O71" s="961" t="s">
        <v>1372</v>
      </c>
      <c r="P71" s="974">
        <v>12</v>
      </c>
      <c r="Q71" s="959" t="s">
        <v>1231</v>
      </c>
      <c r="S71" s="953" t="s">
        <v>1371</v>
      </c>
      <c r="T71" s="1057" t="s">
        <v>1370</v>
      </c>
      <c r="U71" s="952" t="s">
        <v>1369</v>
      </c>
      <c r="V71" s="952" t="s">
        <v>1368</v>
      </c>
      <c r="W71" s="951" t="str">
        <f>"0x"&amp;DEC2HEX(J61)</f>
        <v>0xB34</v>
      </c>
      <c r="X71" s="1189"/>
      <c r="Y71" s="1049"/>
      <c r="Z71" s="1069"/>
      <c r="AA71" s="1070"/>
      <c r="AB71" s="1070"/>
      <c r="AC71" s="1068"/>
      <c r="AD71" s="1068"/>
      <c r="AE71" s="1068"/>
      <c r="AF71" s="1068"/>
      <c r="AG71" s="1068"/>
      <c r="AH71" s="1068"/>
      <c r="AI71" s="1068"/>
      <c r="AJ71" s="1068"/>
    </row>
    <row r="72" spans="1:36" ht="66.75" hidden="1" thickBot="1">
      <c r="A72" s="952" t="s">
        <v>1367</v>
      </c>
      <c r="B72" s="952" t="s">
        <v>1366</v>
      </c>
      <c r="C72" s="1005">
        <v>0</v>
      </c>
      <c r="D72" s="975">
        <v>0</v>
      </c>
      <c r="E72" s="950" t="s">
        <v>1275</v>
      </c>
      <c r="G72" s="1042" t="s">
        <v>231</v>
      </c>
      <c r="H72" s="928" t="s">
        <v>232</v>
      </c>
      <c r="I72" s="1041" t="s">
        <v>233</v>
      </c>
      <c r="J72" s="934">
        <f>ROUNDUP(D78*VLOOKUP($C$47,$S$49:$AO$64,23,FALSE)/1000000,0)</f>
        <v>0</v>
      </c>
      <c r="K72" s="933" t="s">
        <v>154</v>
      </c>
      <c r="M72" s="962" t="s">
        <v>1365</v>
      </c>
      <c r="N72" s="952" t="s">
        <v>1364</v>
      </c>
      <c r="O72" s="961" t="s">
        <v>1363</v>
      </c>
      <c r="P72" s="974">
        <f>P67+P68+P69</f>
        <v>36</v>
      </c>
      <c r="Q72" s="959" t="s">
        <v>1231</v>
      </c>
      <c r="S72" s="1062" t="s">
        <v>1362</v>
      </c>
      <c r="T72" s="952" t="s">
        <v>1361</v>
      </c>
      <c r="U72" s="952" t="s">
        <v>1360</v>
      </c>
      <c r="V72" s="952" t="s">
        <v>1359</v>
      </c>
      <c r="W72" s="951">
        <f>IF(D55="TriggerWidth",1,0)</f>
        <v>0</v>
      </c>
      <c r="X72" s="1189"/>
      <c r="Y72" s="1049"/>
      <c r="Z72" s="1069"/>
      <c r="AA72" s="1069" t="s">
        <v>1358</v>
      </c>
      <c r="AB72" s="1069" t="s">
        <v>1357</v>
      </c>
      <c r="AC72" s="1072"/>
      <c r="AD72" s="1072"/>
      <c r="AE72" s="1068"/>
      <c r="AF72" s="1068"/>
      <c r="AG72" s="1070"/>
      <c r="AH72" s="1068"/>
      <c r="AI72" s="1068"/>
      <c r="AJ72" s="1068"/>
    </row>
    <row r="73" spans="1:36" ht="33.75" hidden="1" thickBot="1">
      <c r="A73" s="1166" t="s">
        <v>242</v>
      </c>
      <c r="B73" s="1167"/>
      <c r="C73" s="1167"/>
      <c r="D73" s="1167"/>
      <c r="E73" s="1168"/>
      <c r="G73" s="1169" t="s">
        <v>1356</v>
      </c>
      <c r="H73" s="1170"/>
      <c r="I73" s="1170"/>
      <c r="J73" s="1170"/>
      <c r="K73" s="1171"/>
      <c r="M73" s="962" t="s">
        <v>1355</v>
      </c>
      <c r="N73" s="952" t="s">
        <v>1354</v>
      </c>
      <c r="O73" s="961" t="s">
        <v>1353</v>
      </c>
      <c r="P73" s="974">
        <f>P64+P65+P66+P70</f>
        <v>26</v>
      </c>
      <c r="Q73" s="959" t="s">
        <v>1231</v>
      </c>
      <c r="S73" s="1062" t="s">
        <v>1352</v>
      </c>
      <c r="T73" s="952" t="s">
        <v>1351</v>
      </c>
      <c r="U73" s="952" t="s">
        <v>1350</v>
      </c>
      <c r="V73" s="952" t="s">
        <v>1349</v>
      </c>
      <c r="W73" s="951" t="str">
        <f>"0x"&amp;DEC2HEX(J78)</f>
        <v>0x8FC</v>
      </c>
      <c r="X73" s="1189"/>
      <c r="Y73" s="1049"/>
      <c r="Z73" s="1069"/>
      <c r="AA73" s="1071">
        <f>P80</f>
        <v>3211520</v>
      </c>
      <c r="AB73" s="1070">
        <f>8*1000*(P80/D70)/AF70</f>
        <v>4777.0334928229659</v>
      </c>
      <c r="AC73" s="1070"/>
      <c r="AD73" s="1070"/>
      <c r="AE73" s="1068"/>
      <c r="AF73" s="1070"/>
      <c r="AG73" s="1070"/>
      <c r="AH73" s="1070"/>
      <c r="AI73" s="1068"/>
      <c r="AJ73" s="1068"/>
    </row>
    <row r="74" spans="1:36" ht="33.75" hidden="1" thickBot="1">
      <c r="A74" s="1001" t="s">
        <v>1348</v>
      </c>
      <c r="B74" s="1000" t="s">
        <v>1347</v>
      </c>
      <c r="C74" s="999">
        <v>0</v>
      </c>
      <c r="D74" s="998">
        <v>0</v>
      </c>
      <c r="E74" s="997" t="s">
        <v>122</v>
      </c>
      <c r="G74" s="940" t="s">
        <v>1346</v>
      </c>
      <c r="H74" s="929" t="s">
        <v>1345</v>
      </c>
      <c r="I74" s="939" t="s">
        <v>1344</v>
      </c>
      <c r="J74" s="954">
        <f>IF(ROUNDUP(P97*1000*8/D76,0)&gt;200000000,200000000,ROUNDUP(P97*1000*8/D76,0))</f>
        <v>4461440</v>
      </c>
      <c r="K74" s="937" t="s">
        <v>1311</v>
      </c>
      <c r="M74" s="962" t="s">
        <v>1343</v>
      </c>
      <c r="N74" s="961" t="s">
        <v>1342</v>
      </c>
      <c r="O74" s="961" t="s">
        <v>1341</v>
      </c>
      <c r="P74" s="974">
        <f>64-P66-P70-P72</f>
        <v>10</v>
      </c>
      <c r="Q74" s="959" t="s">
        <v>1231</v>
      </c>
      <c r="S74" s="1062" t="s">
        <v>1340</v>
      </c>
      <c r="T74" s="952" t="s">
        <v>1339</v>
      </c>
      <c r="U74" s="952" t="s">
        <v>1338</v>
      </c>
      <c r="V74" s="952" t="s">
        <v>1322</v>
      </c>
      <c r="W74" s="951" t="str">
        <f>"0x"&amp;DEC2HEX(MAX(J54,J55,J56,J57))</f>
        <v>0xB79</v>
      </c>
      <c r="X74" s="1189"/>
      <c r="Z74" s="1069"/>
      <c r="AA74" s="1068"/>
      <c r="AB74" s="1068"/>
      <c r="AC74" s="1068"/>
      <c r="AD74" s="1068"/>
      <c r="AE74" s="1068"/>
      <c r="AF74" s="1068"/>
      <c r="AG74" s="1068"/>
      <c r="AH74" s="1068"/>
      <c r="AI74" s="1068"/>
      <c r="AJ74" s="1068"/>
    </row>
    <row r="75" spans="1:36" ht="17.25" hidden="1" thickBot="1">
      <c r="A75" s="1166" t="s">
        <v>256</v>
      </c>
      <c r="B75" s="1167"/>
      <c r="C75" s="1167"/>
      <c r="D75" s="1167"/>
      <c r="E75" s="1168"/>
      <c r="G75" s="1169" t="s">
        <v>1330</v>
      </c>
      <c r="H75" s="1170"/>
      <c r="I75" s="1170"/>
      <c r="J75" s="1170"/>
      <c r="K75" s="1171"/>
      <c r="M75" s="1169" t="s">
        <v>1337</v>
      </c>
      <c r="N75" s="1170"/>
      <c r="O75" s="1170"/>
      <c r="P75" s="1170"/>
      <c r="Q75" s="1171"/>
      <c r="S75" s="1062" t="s">
        <v>1336</v>
      </c>
      <c r="T75" s="952" t="s">
        <v>1335</v>
      </c>
      <c r="U75" s="952" t="s">
        <v>1334</v>
      </c>
      <c r="V75" s="952" t="s">
        <v>1322</v>
      </c>
      <c r="W75" s="951" t="str">
        <f>"0x"&amp;IF(D63="HighSpeed",IF(D55="TriggerWidth",DEC2HEX(MAX(J54,IF(D74=1,0,J56))),DEC2HEX(MAX(J54,J55,IF(D74=1,0,J56)))),IF(D55="TriggerWidth",DEC2HEX(MAX(J54,IF(D74=1,0,J56),P94)),DEC2HEX(MAX(J54,J55,IF(D74=1,0,J56),P94))))</f>
        <v>0xB79</v>
      </c>
      <c r="X75" s="1189"/>
      <c r="Z75" s="1049"/>
    </row>
    <row r="76" spans="1:36" ht="50.25" hidden="1" thickBot="1">
      <c r="A76" s="1048" t="s">
        <v>1333</v>
      </c>
      <c r="B76" s="1047" t="s">
        <v>268</v>
      </c>
      <c r="C76" s="1067" t="s">
        <v>122</v>
      </c>
      <c r="D76" s="1079">
        <f>B15</f>
        <v>10000</v>
      </c>
      <c r="E76" s="991" t="s">
        <v>1332</v>
      </c>
      <c r="G76" s="936" t="s">
        <v>1331</v>
      </c>
      <c r="H76" s="928" t="s">
        <v>1330</v>
      </c>
      <c r="I76" s="935" t="s">
        <v>1329</v>
      </c>
      <c r="J76" s="996">
        <f>IF((100-ROUNDDOWN(10*P90/(125000*D76),0)-1)&lt;0,0,(100-ROUNDDOWN(10*P90/(125000*D76),0)-1))</f>
        <v>99</v>
      </c>
      <c r="K76" s="933" t="s">
        <v>1328</v>
      </c>
      <c r="M76" s="990" t="s">
        <v>747</v>
      </c>
      <c r="N76" s="989" t="s">
        <v>1327</v>
      </c>
      <c r="O76" s="989" t="s">
        <v>1326</v>
      </c>
      <c r="P76" s="989" t="s">
        <v>748</v>
      </c>
      <c r="Q76" s="988" t="s">
        <v>1325</v>
      </c>
      <c r="S76" s="1062" t="s">
        <v>755</v>
      </c>
      <c r="T76" s="952" t="s">
        <v>1324</v>
      </c>
      <c r="U76" s="952" t="s">
        <v>1323</v>
      </c>
      <c r="V76" s="952" t="s">
        <v>1322</v>
      </c>
      <c r="W76" s="951" t="str">
        <f>"0x"&amp;DEC2HEX(MAX(J54,J55))</f>
        <v>0xB79</v>
      </c>
      <c r="X76" s="1189"/>
    </row>
    <row r="77" spans="1:36" ht="49.5" hidden="1">
      <c r="A77" s="955" t="s">
        <v>1321</v>
      </c>
      <c r="B77" s="939" t="s">
        <v>34</v>
      </c>
      <c r="C77" s="987">
        <v>1500</v>
      </c>
      <c r="D77" s="1080">
        <f>B22</f>
        <v>1500</v>
      </c>
      <c r="E77" s="985" t="s">
        <v>201</v>
      </c>
      <c r="G77" s="1169" t="s">
        <v>1320</v>
      </c>
      <c r="H77" s="1170"/>
      <c r="I77" s="1170"/>
      <c r="J77" s="1170"/>
      <c r="K77" s="1171"/>
      <c r="M77" s="962" t="s">
        <v>1319</v>
      </c>
      <c r="N77" s="952" t="s">
        <v>1318</v>
      </c>
      <c r="O77" s="961" t="s">
        <v>1317</v>
      </c>
      <c r="P77" s="974">
        <f>36</f>
        <v>36</v>
      </c>
      <c r="Q77" s="959" t="s">
        <v>1231</v>
      </c>
      <c r="S77" s="1062" t="s">
        <v>1316</v>
      </c>
      <c r="T77" s="952" t="s">
        <v>1315</v>
      </c>
      <c r="U77" s="952" t="s">
        <v>1314</v>
      </c>
      <c r="V77" s="952" t="s">
        <v>1313</v>
      </c>
      <c r="W77" s="951" t="s">
        <v>1312</v>
      </c>
      <c r="X77" s="1189"/>
    </row>
    <row r="78" spans="1:36" ht="49.5" hidden="1">
      <c r="A78" s="1053" t="str">
        <f>"流通道包间隔 
范围:0"&amp;"-"&amp;J74</f>
        <v>流通道包间隔 
范围:0-4461440</v>
      </c>
      <c r="B78" s="1043" t="s">
        <v>32</v>
      </c>
      <c r="C78" s="1066">
        <v>0</v>
      </c>
      <c r="D78" s="1080">
        <f>B20</f>
        <v>0</v>
      </c>
      <c r="E78" s="985" t="s">
        <v>1311</v>
      </c>
      <c r="G78" s="961" t="s">
        <v>1310</v>
      </c>
      <c r="H78" s="961" t="s">
        <v>1309</v>
      </c>
      <c r="I78" s="961" t="s">
        <v>1308</v>
      </c>
      <c r="J78" s="974">
        <f>MAX(INT(1000*D56/J50),1)</f>
        <v>2300</v>
      </c>
      <c r="K78" s="961" t="s">
        <v>1298</v>
      </c>
      <c r="M78" s="962" t="s">
        <v>1307</v>
      </c>
      <c r="N78" s="952" t="s">
        <v>1306</v>
      </c>
      <c r="O78" s="961" t="s">
        <v>1305</v>
      </c>
      <c r="P78" s="974">
        <v>10</v>
      </c>
      <c r="Q78" s="959" t="s">
        <v>1231</v>
      </c>
      <c r="S78" s="1062" t="s">
        <v>1304</v>
      </c>
      <c r="T78" s="952" t="s">
        <v>1303</v>
      </c>
      <c r="U78" s="952" t="s">
        <v>1302</v>
      </c>
      <c r="V78" s="952" t="s">
        <v>1291</v>
      </c>
      <c r="W78" s="951" t="str">
        <f>"0x"&amp;(IF(D57="Ultra Short",0,1))</f>
        <v>0x1</v>
      </c>
      <c r="X78" s="972" t="s">
        <v>1301</v>
      </c>
      <c r="Z78" s="1049"/>
    </row>
    <row r="79" spans="1:36" ht="148.5" hidden="1">
      <c r="A79" s="984" t="str">
        <f>"预留带宽 
范围:0-"&amp;J76</f>
        <v>预留带宽 
范围:0-99</v>
      </c>
      <c r="B79" s="977" t="s">
        <v>30</v>
      </c>
      <c r="C79" s="983">
        <v>2</v>
      </c>
      <c r="D79" s="1081">
        <f>B18</f>
        <v>2</v>
      </c>
      <c r="E79" s="981" t="s">
        <v>259</v>
      </c>
      <c r="G79" s="961" t="s">
        <v>1300</v>
      </c>
      <c r="H79" s="961" t="s">
        <v>278</v>
      </c>
      <c r="I79" s="961" t="s">
        <v>1299</v>
      </c>
      <c r="J79" s="974" t="str">
        <f>IF((D62=1)*(D55="TriggerWidth"),J54+IF(ROUNDUP((1000*D60/J50),0)&gt;J78,ROUNDUP((1000*D60/J50),0)-J78,0),"null")</f>
        <v>null</v>
      </c>
      <c r="K79" s="961" t="s">
        <v>1298</v>
      </c>
      <c r="M79" s="953" t="s">
        <v>1297</v>
      </c>
      <c r="N79" s="952" t="s">
        <v>1296</v>
      </c>
      <c r="O79" s="952" t="s">
        <v>1295</v>
      </c>
      <c r="P79" s="951">
        <v>48</v>
      </c>
      <c r="Q79" s="956" t="s">
        <v>1231</v>
      </c>
      <c r="S79" s="1062" t="s">
        <v>1294</v>
      </c>
      <c r="T79" s="952" t="s">
        <v>1293</v>
      </c>
      <c r="U79" s="952" t="s">
        <v>1292</v>
      </c>
      <c r="V79" s="952" t="s">
        <v>1291</v>
      </c>
      <c r="W79" s="951" t="str">
        <f>"0x"&amp;(IF(D57="Ultra Short",0,1))</f>
        <v>0x1</v>
      </c>
      <c r="X79" s="972" t="s">
        <v>1290</v>
      </c>
      <c r="Z79" s="1049"/>
    </row>
    <row r="80" spans="1:36" ht="66" hidden="1">
      <c r="A80" s="1170" t="s">
        <v>1267</v>
      </c>
      <c r="B80" s="1170"/>
      <c r="C80" s="1170"/>
      <c r="D80" s="1170"/>
      <c r="E80" s="1171"/>
      <c r="G80" s="961" t="s">
        <v>1289</v>
      </c>
      <c r="H80" s="961" t="s">
        <v>1288</v>
      </c>
      <c r="I80" s="961" t="s">
        <v>1287</v>
      </c>
      <c r="J80" s="974" t="str">
        <f>IF((D62=1)*(D55="TriggerWidth"),IF(D60&gt;D56,(ROUNDUP((1000*D60/J50),0)*J50+P56)/1000,(ROUNDUP((1000*D56/J50),0)*J50+P56)/1000),"null")</f>
        <v>null</v>
      </c>
      <c r="K80" s="961" t="s">
        <v>1286</v>
      </c>
      <c r="M80" s="953" t="s">
        <v>1285</v>
      </c>
      <c r="N80" s="952" t="s">
        <v>1284</v>
      </c>
      <c r="O80" s="952" t="s">
        <v>1283</v>
      </c>
      <c r="P80" s="1054">
        <f>ROUNDDOWN(D69*D70*IF(D51=8,1,IF(OR(D51="10p",D51="12p"),1.5,2)),0)</f>
        <v>3211520</v>
      </c>
      <c r="Q80" s="956" t="s">
        <v>1231</v>
      </c>
      <c r="S80" s="1062" t="s">
        <v>1282</v>
      </c>
      <c r="T80" s="952" t="s">
        <v>1281</v>
      </c>
      <c r="U80" s="952" t="s">
        <v>1280</v>
      </c>
      <c r="V80" s="952" t="s">
        <v>1279</v>
      </c>
      <c r="W80" s="951" t="str">
        <f>"0x"&amp;DEC2HEX(J54)</f>
        <v>0x65C</v>
      </c>
      <c r="X80" s="972" t="s">
        <v>1278</v>
      </c>
      <c r="Z80" s="1049"/>
    </row>
    <row r="81" spans="1:26" ht="33" hidden="1">
      <c r="A81" s="952" t="s">
        <v>1277</v>
      </c>
      <c r="B81" s="952" t="s">
        <v>1276</v>
      </c>
      <c r="C81" s="952">
        <v>0</v>
      </c>
      <c r="D81" s="1078">
        <f>B16</f>
        <v>0</v>
      </c>
      <c r="E81" s="950" t="s">
        <v>1275</v>
      </c>
      <c r="M81" s="953" t="s">
        <v>1274</v>
      </c>
      <c r="N81" s="952" t="s">
        <v>1273</v>
      </c>
      <c r="O81" s="952" t="s">
        <v>1272</v>
      </c>
      <c r="P81" s="1054">
        <f>P80+P79*D72</f>
        <v>3211520</v>
      </c>
      <c r="Q81" s="956" t="s">
        <v>1231</v>
      </c>
      <c r="S81" s="1062" t="s">
        <v>1271</v>
      </c>
      <c r="T81" s="952" t="s">
        <v>756</v>
      </c>
      <c r="U81" s="952" t="s">
        <v>1270</v>
      </c>
      <c r="V81" s="952" t="s">
        <v>1269</v>
      </c>
      <c r="W81" s="951" t="str">
        <f>"0x"&amp;DEC2HEX(D77-P72)</f>
        <v>0x5B8</v>
      </c>
      <c r="X81" s="972" t="s">
        <v>1268</v>
      </c>
      <c r="Z81" s="1049"/>
    </row>
    <row r="82" spans="1:26" ht="33" hidden="1">
      <c r="A82" s="952" t="s">
        <v>1267</v>
      </c>
      <c r="B82" s="1057" t="s">
        <v>757</v>
      </c>
      <c r="C82" s="952">
        <f>VLOOKUP($C$47,$S$49:$AL$64,19,FALSE)</f>
        <v>176</v>
      </c>
      <c r="D82" s="1078">
        <f>B17</f>
        <v>132</v>
      </c>
      <c r="E82" s="950" t="s">
        <v>1266</v>
      </c>
      <c r="M82" s="962" t="s">
        <v>758</v>
      </c>
      <c r="N82" s="952" t="s">
        <v>1265</v>
      </c>
      <c r="O82" s="961" t="s">
        <v>1264</v>
      </c>
      <c r="P82" s="960">
        <f>INT(P81/(D77-P72))</f>
        <v>2193</v>
      </c>
      <c r="Q82" s="959" t="s">
        <v>1252</v>
      </c>
      <c r="S82" s="1065" t="s">
        <v>342</v>
      </c>
      <c r="T82" s="1043" t="s">
        <v>343</v>
      </c>
      <c r="U82" s="939" t="s">
        <v>1263</v>
      </c>
      <c r="V82" s="1043" t="s">
        <v>345</v>
      </c>
      <c r="W82" s="979" t="str">
        <f>"0x"&amp;DEC2HEX(J72)</f>
        <v>0x0</v>
      </c>
      <c r="X82" s="1182" t="s">
        <v>346</v>
      </c>
      <c r="Z82" s="1049"/>
    </row>
    <row r="83" spans="1:26" ht="33" hidden="1">
      <c r="A83" s="1184" t="s">
        <v>1262</v>
      </c>
      <c r="B83" s="1184"/>
      <c r="C83" s="1184"/>
      <c r="D83" s="1184"/>
      <c r="E83" s="1185"/>
      <c r="M83" s="962" t="s">
        <v>1261</v>
      </c>
      <c r="N83" s="952" t="s">
        <v>1260</v>
      </c>
      <c r="O83" s="961" t="s">
        <v>1259</v>
      </c>
      <c r="P83" s="960">
        <f>P81-(D77-P72)*P82</f>
        <v>968</v>
      </c>
      <c r="Q83" s="959" t="s">
        <v>1231</v>
      </c>
      <c r="S83" s="1064" t="s">
        <v>352</v>
      </c>
      <c r="T83" s="1063" t="s">
        <v>353</v>
      </c>
      <c r="U83" s="939" t="s">
        <v>1258</v>
      </c>
      <c r="V83" s="1063" t="s">
        <v>355</v>
      </c>
      <c r="W83" s="976" t="str">
        <f>"0x"&amp;DEC2HEX(J71)</f>
        <v>0x0</v>
      </c>
      <c r="X83" s="1183"/>
      <c r="Z83" s="1049"/>
    </row>
    <row r="84" spans="1:26" ht="49.5" hidden="1">
      <c r="A84" s="952" t="s">
        <v>1257</v>
      </c>
      <c r="B84" s="1057" t="s">
        <v>1256</v>
      </c>
      <c r="C84" s="952">
        <v>1</v>
      </c>
      <c r="D84" s="1078">
        <f>B6</f>
        <v>1</v>
      </c>
      <c r="E84" s="950" t="s">
        <v>1234</v>
      </c>
      <c r="M84" s="1058" t="s">
        <v>1255</v>
      </c>
      <c r="N84" s="1057" t="s">
        <v>1254</v>
      </c>
      <c r="O84" s="1056" t="s">
        <v>1253</v>
      </c>
      <c r="P84" s="974">
        <f>IF(P83=0,0,1)</f>
        <v>1</v>
      </c>
      <c r="Q84" s="959" t="s">
        <v>1252</v>
      </c>
      <c r="S84" s="1062" t="s">
        <v>1251</v>
      </c>
      <c r="T84" s="952" t="s">
        <v>1250</v>
      </c>
      <c r="U84" s="952" t="s">
        <v>1249</v>
      </c>
      <c r="V84" s="952" t="s">
        <v>1248</v>
      </c>
      <c r="W84" s="951" t="str">
        <f>"0x"&amp;DEC2HEX(ROUNDUP((J50-P59/P60*1000000/P61)/(1000000/P61),0))</f>
        <v>0xB0</v>
      </c>
      <c r="X84" s="972" t="s">
        <v>1247</v>
      </c>
    </row>
    <row r="85" spans="1:26" ht="50.25" hidden="1" thickBot="1">
      <c r="A85" s="943" t="s">
        <v>1246</v>
      </c>
      <c r="B85" s="1060" t="s">
        <v>1245</v>
      </c>
      <c r="C85" s="943">
        <v>1</v>
      </c>
      <c r="D85" s="1082">
        <f>B7</f>
        <v>1</v>
      </c>
      <c r="E85" s="941" t="s">
        <v>1234</v>
      </c>
      <c r="M85" s="962" t="s">
        <v>1244</v>
      </c>
      <c r="N85" s="952" t="s">
        <v>1243</v>
      </c>
      <c r="O85" s="1056" t="s">
        <v>759</v>
      </c>
      <c r="P85" s="960">
        <f>IF(P83&lt;P74,P74,P83)</f>
        <v>968</v>
      </c>
      <c r="Q85" s="959" t="s">
        <v>1231</v>
      </c>
      <c r="S85" s="1061" t="s">
        <v>760</v>
      </c>
      <c r="T85" s="1060" t="s">
        <v>761</v>
      </c>
      <c r="U85" s="943" t="s">
        <v>762</v>
      </c>
      <c r="V85" s="943" t="s">
        <v>763</v>
      </c>
      <c r="W85" s="942" t="str">
        <f>"0x"&amp;DEC2HEX(P59)</f>
        <v>0x820</v>
      </c>
      <c r="X85" s="969" t="s">
        <v>764</v>
      </c>
    </row>
    <row r="86" spans="1:26" ht="83.25" hidden="1" thickBot="1">
      <c r="A86" s="1172" t="s">
        <v>765</v>
      </c>
      <c r="B86" s="1173"/>
      <c r="C86" s="1173"/>
      <c r="D86" s="1173"/>
      <c r="E86" s="1174"/>
      <c r="M86" s="1058" t="s">
        <v>766</v>
      </c>
      <c r="N86" s="1057" t="s">
        <v>767</v>
      </c>
      <c r="O86" s="1056" t="s">
        <v>768</v>
      </c>
      <c r="P86" s="960">
        <f>P73+P72+P77</f>
        <v>98</v>
      </c>
      <c r="Q86" s="959" t="s">
        <v>1231</v>
      </c>
      <c r="S86" s="1061" t="s">
        <v>1242</v>
      </c>
      <c r="T86" s="1060" t="s">
        <v>1241</v>
      </c>
      <c r="U86" s="943" t="s">
        <v>769</v>
      </c>
      <c r="V86" s="943" t="s">
        <v>1240</v>
      </c>
      <c r="W86" s="942" t="str">
        <f>"0x"&amp;DEC2HEX(IF(D63="Standard",0,1))</f>
        <v>0x0</v>
      </c>
      <c r="X86" s="969" t="s">
        <v>1239</v>
      </c>
    </row>
    <row r="87" spans="1:26" hidden="1">
      <c r="A87" s="962" t="s">
        <v>770</v>
      </c>
      <c r="B87" s="1056" t="s">
        <v>1238</v>
      </c>
      <c r="C87" s="961">
        <v>1</v>
      </c>
      <c r="D87" s="1083">
        <f>B8</f>
        <v>1</v>
      </c>
      <c r="E87" s="967" t="s">
        <v>1234</v>
      </c>
      <c r="F87" s="1175" t="s">
        <v>1237</v>
      </c>
      <c r="M87" s="1058" t="s">
        <v>1236</v>
      </c>
      <c r="N87" s="1057" t="s">
        <v>1235</v>
      </c>
      <c r="O87" s="1056" t="s">
        <v>771</v>
      </c>
      <c r="P87" s="960">
        <f>P73+P72+P78</f>
        <v>72</v>
      </c>
      <c r="Q87" s="959" t="s">
        <v>1231</v>
      </c>
      <c r="S87" s="1050"/>
      <c r="T87" s="1049"/>
      <c r="U87" s="1049"/>
    </row>
    <row r="88" spans="1:26" ht="50.25" hidden="1" thickBot="1">
      <c r="A88" s="966" t="s">
        <v>772</v>
      </c>
      <c r="B88" s="1059" t="s">
        <v>773</v>
      </c>
      <c r="C88" s="965">
        <v>1</v>
      </c>
      <c r="D88" s="1084">
        <f>B8</f>
        <v>1</v>
      </c>
      <c r="E88" s="963" t="s">
        <v>1234</v>
      </c>
      <c r="F88" s="1175"/>
      <c r="M88" s="1058" t="s">
        <v>774</v>
      </c>
      <c r="N88" s="1057" t="s">
        <v>775</v>
      </c>
      <c r="O88" s="1056" t="s">
        <v>776</v>
      </c>
      <c r="P88" s="960">
        <f>P82*(D77+P73)+P84*(P85+P73+P72)</f>
        <v>3347548</v>
      </c>
      <c r="Q88" s="959" t="s">
        <v>1231</v>
      </c>
      <c r="S88" s="1050"/>
      <c r="T88" s="1049"/>
      <c r="U88" s="1049"/>
      <c r="V88" s="1049"/>
      <c r="W88" s="1049"/>
    </row>
    <row r="89" spans="1:26" ht="49.5" hidden="1">
      <c r="A89" s="1176" t="s">
        <v>777</v>
      </c>
      <c r="B89" s="1177"/>
      <c r="C89" s="1177"/>
      <c r="D89" s="1177"/>
      <c r="E89" s="1178"/>
      <c r="M89" s="1053" t="s">
        <v>778</v>
      </c>
      <c r="N89" s="1043" t="s">
        <v>779</v>
      </c>
      <c r="O89" s="1043" t="s">
        <v>1233</v>
      </c>
      <c r="P89" s="958">
        <f>(2+P84+P82)*P96</f>
        <v>43920</v>
      </c>
      <c r="Q89" s="937" t="s">
        <v>1231</v>
      </c>
      <c r="S89" s="1050"/>
      <c r="T89" s="1049"/>
      <c r="V89" s="1049"/>
      <c r="W89" s="1049"/>
    </row>
    <row r="90" spans="1:26" ht="33.75" hidden="1" thickBot="1">
      <c r="A90" s="1055" t="s">
        <v>780</v>
      </c>
      <c r="B90" s="1179" t="s">
        <v>781</v>
      </c>
      <c r="C90" s="1179"/>
      <c r="D90" s="1180">
        <f>J52</f>
        <v>97.723052868171607</v>
      </c>
      <c r="E90" s="1181"/>
      <c r="M90" s="953" t="s">
        <v>1232</v>
      </c>
      <c r="N90" s="952" t="s">
        <v>782</v>
      </c>
      <c r="O90" s="952" t="s">
        <v>783</v>
      </c>
      <c r="P90" s="1054">
        <f>P86+P87+P88+P89</f>
        <v>3391638</v>
      </c>
      <c r="Q90" s="956" t="s">
        <v>1231</v>
      </c>
      <c r="S90" s="1050"/>
      <c r="T90" s="1049"/>
      <c r="U90" s="1049"/>
      <c r="V90" s="1049"/>
      <c r="W90" s="1049"/>
    </row>
    <row r="91" spans="1:26" ht="33" hidden="1">
      <c r="D91" s="932"/>
      <c r="E91" s="932"/>
      <c r="M91" s="1053" t="s">
        <v>784</v>
      </c>
      <c r="N91" s="1043" t="s">
        <v>785</v>
      </c>
      <c r="O91" s="1043" t="s">
        <v>786</v>
      </c>
      <c r="P91" s="954">
        <f>INT(1000000*D76*(100-D79)/80)</f>
        <v>12250000000</v>
      </c>
      <c r="Q91" s="1052" t="s">
        <v>805</v>
      </c>
      <c r="S91" s="1050"/>
      <c r="T91" s="1049"/>
      <c r="U91" s="1049"/>
      <c r="V91" s="1049"/>
      <c r="W91" s="1049"/>
    </row>
    <row r="92" spans="1:26" ht="66" hidden="1">
      <c r="D92" s="932"/>
      <c r="E92" s="932"/>
      <c r="M92" s="1051" t="s">
        <v>810</v>
      </c>
      <c r="N92" s="952" t="s">
        <v>809</v>
      </c>
      <c r="O92" s="952" t="s">
        <v>802</v>
      </c>
      <c r="P92" s="951">
        <f>IF(D57="Ultra Short",ROUNDUP(P90*1000000/P91,0)*10,ROUNDUP(ROUNDUP(P90*1000000000/P91,0)*10/J50,0))</f>
        <v>795</v>
      </c>
      <c r="Q92" s="950" t="str">
        <f>IF(D57="Ultra Short","us","line")</f>
        <v>line</v>
      </c>
      <c r="S92" s="1050"/>
      <c r="T92" s="1049"/>
      <c r="U92" s="1049"/>
      <c r="V92" s="1049"/>
      <c r="W92" s="1049"/>
    </row>
    <row r="93" spans="1:26" ht="33" hidden="1">
      <c r="A93" s="932"/>
      <c r="B93" s="932"/>
      <c r="C93" s="932"/>
      <c r="D93" s="932"/>
      <c r="E93" s="932"/>
      <c r="M93" s="1048" t="s">
        <v>808</v>
      </c>
      <c r="N93" s="1047" t="s">
        <v>807</v>
      </c>
      <c r="O93" s="1047" t="s">
        <v>806</v>
      </c>
      <c r="P93" s="946">
        <f>INT(1000000*D76*(100)/80)</f>
        <v>12500000000</v>
      </c>
      <c r="Q93" s="1046" t="s">
        <v>805</v>
      </c>
    </row>
    <row r="94" spans="1:26" ht="66.75" hidden="1" thickBot="1">
      <c r="A94" s="932"/>
      <c r="B94" s="932"/>
      <c r="C94" s="932"/>
      <c r="D94" s="932"/>
      <c r="E94" s="932"/>
      <c r="M94" s="1045" t="s">
        <v>804</v>
      </c>
      <c r="N94" s="943" t="s">
        <v>803</v>
      </c>
      <c r="O94" s="943" t="s">
        <v>802</v>
      </c>
      <c r="P94" s="942">
        <f>IF(D57="Ultra Short",ROUNDUP(P90*1000000/P93,0)*10,ROUNDUP(ROUNDUP(P90*1000000000/P93,0)*10/J50,0))</f>
        <v>779</v>
      </c>
      <c r="Q94" s="941" t="str">
        <f>IF(D49="Ultra Short","us","line")</f>
        <v>line</v>
      </c>
    </row>
    <row r="95" spans="1:26" ht="17.25" hidden="1" thickBot="1">
      <c r="M95" s="1166" t="s">
        <v>390</v>
      </c>
      <c r="N95" s="1167"/>
      <c r="O95" s="1167"/>
      <c r="P95" s="1167"/>
      <c r="Q95" s="1168"/>
    </row>
    <row r="96" spans="1:26" ht="33" hidden="1">
      <c r="M96" s="1044" t="s">
        <v>391</v>
      </c>
      <c r="N96" s="929" t="s">
        <v>392</v>
      </c>
      <c r="O96" s="1043" t="s">
        <v>393</v>
      </c>
      <c r="P96" s="938">
        <f>MAX(ROUNDUP(D78*D76/1000/8,0),P71+8)</f>
        <v>20</v>
      </c>
      <c r="Q96" s="937" t="s">
        <v>394</v>
      </c>
    </row>
    <row r="97" spans="1:17" ht="66.75" hidden="1" thickBot="1">
      <c r="M97" s="1042" t="s">
        <v>395</v>
      </c>
      <c r="N97" s="928" t="s">
        <v>396</v>
      </c>
      <c r="O97" s="1041" t="s">
        <v>397</v>
      </c>
      <c r="P97" s="934">
        <f>ROUNDDOWN((P91-(P86+P87+P88))/(P82+P84+2),0)</f>
        <v>5576799</v>
      </c>
      <c r="Q97" s="933" t="s">
        <v>394</v>
      </c>
    </row>
    <row r="98" spans="1:17" hidden="1">
      <c r="M98" s="932"/>
      <c r="N98" s="932"/>
      <c r="O98" s="932"/>
      <c r="P98" s="932"/>
      <c r="Q98" s="932"/>
    </row>
    <row r="99" spans="1:17" hidden="1">
      <c r="M99" s="932"/>
      <c r="N99" s="932"/>
      <c r="O99" s="932"/>
      <c r="P99" s="932"/>
      <c r="Q99" s="932"/>
    </row>
    <row r="100" spans="1:17">
      <c r="M100" s="932"/>
      <c r="N100" s="932"/>
      <c r="O100" s="932"/>
      <c r="P100" s="932"/>
      <c r="Q100" s="932"/>
    </row>
    <row r="101" spans="1:17">
      <c r="M101" s="932"/>
      <c r="N101" s="932"/>
      <c r="O101" s="932"/>
      <c r="P101" s="932"/>
      <c r="Q101" s="932"/>
    </row>
    <row r="102" spans="1:17">
      <c r="M102" s="932"/>
      <c r="N102" s="932"/>
      <c r="O102" s="932"/>
      <c r="P102" s="932"/>
      <c r="Q102" s="932"/>
    </row>
    <row r="103" spans="1:17">
      <c r="M103" s="932"/>
      <c r="N103" s="932"/>
      <c r="O103" s="932"/>
      <c r="P103" s="932"/>
      <c r="Q103" s="932"/>
    </row>
    <row r="104" spans="1:17">
      <c r="A104" s="1040"/>
      <c r="B104" s="1040"/>
      <c r="M104" s="932"/>
      <c r="N104" s="932"/>
      <c r="O104" s="932"/>
      <c r="P104" s="932"/>
      <c r="Q104" s="932"/>
    </row>
    <row r="105" spans="1:17">
      <c r="A105" s="1040"/>
      <c r="B105" s="1040"/>
      <c r="M105" s="932"/>
      <c r="N105" s="932"/>
      <c r="O105" s="932"/>
      <c r="P105" s="932"/>
      <c r="Q105" s="932"/>
    </row>
    <row r="106" spans="1:17">
      <c r="M106" s="932"/>
      <c r="N106" s="932"/>
      <c r="O106" s="932"/>
      <c r="P106" s="932"/>
      <c r="Q106" s="932"/>
    </row>
    <row r="107" spans="1:17">
      <c r="M107" s="932"/>
      <c r="N107" s="932"/>
      <c r="O107" s="932"/>
      <c r="P107" s="932"/>
      <c r="Q107" s="932"/>
    </row>
  </sheetData>
  <sheetProtection algorithmName="SHA-512" hashValue="lpvKpbbaxbFFj9yl/74/TPOZH1k1bcqxijPU1PyvlV/qUBCJzM/q7DoovwHv9zm7yG8HgWLmCvtcxPf2jTwILw==" saltValue="Aao0TNTETTsevgyWWwFnOQ==" spinCount="100000" sheet="1" objects="1" scenarios="1"/>
  <mergeCells count="35">
    <mergeCell ref="S47:AO47"/>
    <mergeCell ref="A48:E48"/>
    <mergeCell ref="M48:Q48"/>
    <mergeCell ref="G49:K49"/>
    <mergeCell ref="A50:E50"/>
    <mergeCell ref="M62:Q62"/>
    <mergeCell ref="G47:K47"/>
    <mergeCell ref="M47:Q47"/>
    <mergeCell ref="G60:K60"/>
    <mergeCell ref="A61:E61"/>
    <mergeCell ref="A53:E53"/>
    <mergeCell ref="G53:K53"/>
    <mergeCell ref="X82:X83"/>
    <mergeCell ref="A83:E83"/>
    <mergeCell ref="A64:E64"/>
    <mergeCell ref="A66:E66"/>
    <mergeCell ref="G66:K66"/>
    <mergeCell ref="S66:X66"/>
    <mergeCell ref="S67:X67"/>
    <mergeCell ref="X69:X77"/>
    <mergeCell ref="G70:K70"/>
    <mergeCell ref="A71:E71"/>
    <mergeCell ref="A73:E73"/>
    <mergeCell ref="G73:K73"/>
    <mergeCell ref="M95:Q95"/>
    <mergeCell ref="A75:E75"/>
    <mergeCell ref="G75:K75"/>
    <mergeCell ref="M75:Q75"/>
    <mergeCell ref="G77:K77"/>
    <mergeCell ref="A80:E80"/>
    <mergeCell ref="A86:E86"/>
    <mergeCell ref="F87:F88"/>
    <mergeCell ref="A89:E89"/>
    <mergeCell ref="B90:C90"/>
    <mergeCell ref="D90:E90"/>
  </mergeCells>
  <phoneticPr fontId="36" type="noConversion"/>
  <conditionalFormatting sqref="N150">
    <cfRule type="cellIs" dxfId="32" priority="3" operator="equal">
      <formula>"*"</formula>
    </cfRule>
    <cfRule type="cellIs" dxfId="31" priority="4" operator="equal">
      <formula>"-"</formula>
    </cfRule>
    <cfRule type="cellIs" dxfId="30" priority="5" operator="equal">
      <formula>"-"</formula>
    </cfRule>
    <cfRule type="cellIs" dxfId="29" priority="6" operator="equal">
      <formula>"-"</formula>
    </cfRule>
  </conditionalFormatting>
  <conditionalFormatting sqref="R157:R162">
    <cfRule type="cellIs" dxfId="28" priority="29" operator="equal">
      <formula>"固件动态访问"</formula>
    </cfRule>
  </conditionalFormatting>
  <conditionalFormatting sqref="R157:R162">
    <cfRule type="cellIs" dxfId="27" priority="27" operator="equal">
      <formula>"固件初始化&amp;动态访问"</formula>
    </cfRule>
    <cfRule type="cellIs" dxfId="26" priority="28" operator="equal">
      <formula>"固件初始化"</formula>
    </cfRule>
  </conditionalFormatting>
  <conditionalFormatting sqref="N145">
    <cfRule type="cellIs" dxfId="25" priority="23" operator="equal">
      <formula>"*"</formula>
    </cfRule>
    <cfRule type="cellIs" dxfId="24" priority="24" operator="equal">
      <formula>"-"</formula>
    </cfRule>
    <cfRule type="cellIs" dxfId="23" priority="25" operator="equal">
      <formula>"-"</formula>
    </cfRule>
    <cfRule type="cellIs" dxfId="22" priority="26" operator="equal">
      <formula>"-"</formula>
    </cfRule>
  </conditionalFormatting>
  <conditionalFormatting sqref="N146">
    <cfRule type="cellIs" dxfId="21" priority="19" operator="equal">
      <formula>"*"</formula>
    </cfRule>
    <cfRule type="cellIs" dxfId="20" priority="20" operator="equal">
      <formula>"-"</formula>
    </cfRule>
    <cfRule type="cellIs" dxfId="19" priority="21" operator="equal">
      <formula>"-"</formula>
    </cfRule>
    <cfRule type="cellIs" dxfId="18" priority="22" operator="equal">
      <formula>"-"</formula>
    </cfRule>
  </conditionalFormatting>
  <conditionalFormatting sqref="N147">
    <cfRule type="cellIs" dxfId="17" priority="15" operator="equal">
      <formula>"*"</formula>
    </cfRule>
    <cfRule type="cellIs" dxfId="16" priority="16" operator="equal">
      <formula>"-"</formula>
    </cfRule>
    <cfRule type="cellIs" dxfId="15" priority="17" operator="equal">
      <formula>"-"</formula>
    </cfRule>
    <cfRule type="cellIs" dxfId="14" priority="18" operator="equal">
      <formula>"-"</formula>
    </cfRule>
  </conditionalFormatting>
  <conditionalFormatting sqref="N148">
    <cfRule type="cellIs" dxfId="13" priority="11" operator="equal">
      <formula>"*"</formula>
    </cfRule>
    <cfRule type="cellIs" dxfId="12" priority="12" operator="equal">
      <formula>"-"</formula>
    </cfRule>
    <cfRule type="cellIs" dxfId="11" priority="13" operator="equal">
      <formula>"-"</formula>
    </cfRule>
    <cfRule type="cellIs" dxfId="10" priority="14" operator="equal">
      <formula>"-"</formula>
    </cfRule>
  </conditionalFormatting>
  <conditionalFormatting sqref="N149">
    <cfRule type="cellIs" dxfId="9" priority="7" operator="equal">
      <formula>"*"</formula>
    </cfRule>
    <cfRule type="cellIs" dxfId="8" priority="8" operator="equal">
      <formula>"-"</formula>
    </cfRule>
    <cfRule type="cellIs" dxfId="7" priority="9" operator="equal">
      <formula>"-"</formula>
    </cfRule>
    <cfRule type="cellIs" dxfId="6" priority="10" operator="equal">
      <formula>"-"</formula>
    </cfRule>
  </conditionalFormatting>
  <conditionalFormatting sqref="D51">
    <cfRule type="expression" priority="1">
      <formula>IF(D52=8,8)</formula>
    </cfRule>
  </conditionalFormatting>
  <dataValidations count="44">
    <dataValidation allowBlank="1" showInputMessage="1" showErrorMessage="1" error="输入范围是64~1024，步长为2" sqref="A1:B1"/>
    <dataValidation type="custom" allowBlank="1" showInputMessage="1" showErrorMessage="1" errorTitle="输入数值非法" error="Input range:[4,'HeightMax'],and is an integer multiple of 4" sqref="B5">
      <formula1>AND((B5&lt;=B3),(B5&gt;=2),(MOD(B5,8)=0))</formula1>
    </dataValidation>
    <dataValidation allowBlank="1" showErrorMessage="1" promptTitle="参数变化" prompt="该参数会根据当前生效的水平像素Binning、水平像素抽样变化" sqref="B2:B3"/>
    <dataValidation type="custom" allowBlank="1" showInputMessage="1" showErrorMessage="1" error="The input range :[512,8192], and the step size is 4" sqref="B22">
      <formula1>AND((B22&lt;=8192),(B22&gt;=512),(MOD(B22,4)=0))</formula1>
    </dataValidation>
    <dataValidation type="whole" allowBlank="1" showInputMessage="1" showErrorMessage="1" error="Set the value range [ 0,'BandwidthReserveMaxValue']" sqref="B18">
      <formula1>0</formula1>
      <formula2>B19</formula2>
    </dataValidation>
    <dataValidation type="whole" allowBlank="1" showInputMessage="1" showErrorMessage="1" error="The input range :[0,5000]" sqref="B11">
      <formula1>0</formula1>
      <formula2>5000</formula2>
    </dataValidation>
    <dataValidation type="custom" allowBlank="1" showInputMessage="1" showErrorMessage="1" error="The input range :[0.1~10000.0]" sqref="B17">
      <formula1>AND(TRUNC(B17,1)=B17,(B17&gt;=0.1),(B17&lt;=10000))</formula1>
    </dataValidation>
    <dataValidation type="list" allowBlank="1" showInputMessage="1" showErrorMessage="1" errorTitle="超出范围" error="input 0 or 1" sqref="B16">
      <formula1>"0,1"</formula1>
    </dataValidation>
    <dataValidation type="list" allowBlank="1" showInputMessage="1" showErrorMessage="1" error="Please enter 10000 or 1000" sqref="B15">
      <formula1>"10000,1000"</formula1>
    </dataValidation>
    <dataValidation type="list" allowBlank="1" showInputMessage="1" showErrorMessage="1" errorTitle="超出范围" error="Please enter 8 、10 or 12" sqref="B12">
      <formula1>"8,10,12"</formula1>
    </dataValidation>
    <dataValidation type="custom" allowBlank="1" showInputMessage="1" showErrorMessage="1" error="Input 1 or 2" sqref="B8">
      <formula1>AND(OR((B8=1),(B8=2)),B6=1)</formula1>
    </dataValidation>
    <dataValidation type="custom" allowBlank="1" showInputMessage="1" showErrorMessage="1" errorTitle="输入数值非法" error="Input range:[16,'WidthMax'],and is an integer multiple of 8" sqref="B4">
      <formula1>AND((B4&lt;=B2),(B4&gt;=16),(MOD(B4,8)=0))</formula1>
    </dataValidation>
    <dataValidation type="list" allowBlank="1" showInputMessage="1" showErrorMessage="1" error="input 0 or 1" sqref="B14">
      <formula1>"0,1"</formula1>
    </dataValidation>
    <dataValidation type="whole" allowBlank="1" showInputMessage="1" showErrorMessage="1" error="Set the value range:[ 0,'GevSCPDMaxValue']" sqref="B20">
      <formula1>0</formula1>
      <formula2>B21</formula2>
    </dataValidation>
    <dataValidation type="custom" allowBlank="1" showInputMessage="1" showErrorMessage="1" error="Input 1  、2 or 4, and can not be entered when the 'SensorDecimation' is not 1" sqref="B6">
      <formula1>AND(OR((B6=1),(B6=2),(B6=4)),B8=1)</formula1>
    </dataValidation>
    <dataValidation type="custom" allowBlank="1" showInputMessage="1" showErrorMessage="1" error="Input 1 or 2, and can not be entered when the 'SensorDecimation' is not 1" sqref="B7">
      <formula1>AND(OR((B7=1),(B7=2),(B7=4)),B8=1)</formula1>
    </dataValidation>
    <dataValidation type="list" showInputMessage="1" showErrorMessage="1" error="Please enter Standard or Ultra Short" sqref="B9">
      <formula1>"Standard,Ultra Short"</formula1>
    </dataValidation>
    <dataValidation type="whole" allowBlank="1" showInputMessage="1" showErrorMessage="1" errorTitle="超出范围" error="Ultra Short模式曝光时间范围8~100us；_x000a_Standard模式曝光时间范围21~15000000 us" sqref="B11">
      <formula1>8</formula1>
      <formula2>15000000</formula2>
    </dataValidation>
    <dataValidation type="list" allowBlank="1" showInputMessage="1" showErrorMessage="1" errorTitle="超出范围" error="Please enter 0 or 1" sqref="B14">
      <formula1>"0,1"</formula1>
    </dataValidation>
    <dataValidation type="list" allowBlank="1" showInputMessage="1" showErrorMessage="1" error="Please enter 8 、10、10p、12 or 12p" sqref="B13">
      <formula1>"8,10,10p,12,12p"</formula1>
    </dataValidation>
    <dataValidation type="whole" allowBlank="1" showInputMessage="1" showErrorMessage="1" errorTitle="超出范围" error="Ultra Short: The input range :[8,100]_x000a_Standard:The input range :[21,15000000]" sqref="B10">
      <formula1>8</formula1>
      <formula2>15000000</formula2>
    </dataValidation>
    <dataValidation type="custom" allowBlank="1" showInputMessage="1" showErrorMessage="1" sqref="D77">
      <formula1>AND(MOD(D77,4)=0,D77&gt;=512,D77&lt;=16384)</formula1>
    </dataValidation>
    <dataValidation type="whole" allowBlank="1" showInputMessage="1" showErrorMessage="1" errorTitle="超出范围" error="触发延时的范围是0-3000000us" sqref="D65">
      <formula1>0</formula1>
      <formula2>3000000</formula2>
    </dataValidation>
    <dataValidation type="list" allowBlank="1" showInputMessage="1" showErrorMessage="1" errorTitle="超出范围" error="0:关闭_x000a_1:打开" sqref="D81">
      <formula1>"0,1"</formula1>
    </dataValidation>
    <dataValidation type="whole" allowBlank="1" showInputMessage="1" showErrorMessage="1" errorTitle="输入数值非法" error="最小值64，最大值D12" sqref="D69">
      <formula1>8</formula1>
      <formula2>C69</formula2>
    </dataValidation>
    <dataValidation type="whole" allowBlank="1" showInputMessage="1" showErrorMessage="1" errorTitle="超出范围" error="极小曝光模式的范围是1us-100us_x000a_普通曝光模式的范围是20us-1s" sqref="D58">
      <formula1>IF(D57="Ultra Short",1,13)</formula1>
      <formula2>IF(D57="Ultra Short",100,1000000)</formula2>
    </dataValidation>
    <dataValidation type="list" allowBlank="1" showInputMessage="1" showErrorMessage="1" sqref="D52">
      <formula1>"8,10,12"</formula1>
    </dataValidation>
    <dataValidation type="list" allowBlank="1" showInputMessage="1" showErrorMessage="1" sqref="D54 D72 D74">
      <formula1>"0,1"</formula1>
    </dataValidation>
    <dataValidation type="whole" allowBlank="1" showInputMessage="1" showErrorMessage="1" errorTitle="超出范围" error="曝光延迟的范围是0-5000us" sqref="D59">
      <formula1>0</formula1>
      <formula2>5000</formula2>
    </dataValidation>
    <dataValidation type="list" allowBlank="1" showInputMessage="1" showErrorMessage="1" errorTitle="超出范围" error="曝光时间的范围是20us-1s" sqref="D62">
      <formula1>"0,1"</formula1>
    </dataValidation>
    <dataValidation type="list" allowBlank="1" showInputMessage="1" showErrorMessage="1" errorTitle="超出范围" error="曝光时间的范围是63us-1s" sqref="D57">
      <formula1>"Standard,Ultra Short"</formula1>
    </dataValidation>
    <dataValidation type="decimal" allowBlank="1" showInputMessage="1" showErrorMessage="1" sqref="D82">
      <formula1>0.1</formula1>
      <formula2>10000</formula2>
    </dataValidation>
    <dataValidation type="list" allowBlank="1" showInputMessage="1" showErrorMessage="1" sqref="C46">
      <formula1>"S6,A7,EFX,A7-100T,Polarfire"</formula1>
    </dataValidation>
    <dataValidation type="list" allowBlank="1" showInputMessage="1" showErrorMessage="1" errorTitle="位深不可大于像素格式" sqref="D51">
      <formula1>"8,10,10p,12,12p"</formula1>
    </dataValidation>
    <dataValidation type="list" allowBlank="1" showInputMessage="1" showErrorMessage="1" sqref="D55">
      <formula1>"Timed,TriggerWidth"</formula1>
    </dataValidation>
    <dataValidation type="whole" operator="greaterThan" allowBlank="1" showInputMessage="1" showErrorMessage="1" error="触发信号长度需要大于0" sqref="D60">
      <formula1>0</formula1>
    </dataValidation>
    <dataValidation type="list" allowBlank="1" showInputMessage="1" showErrorMessage="1" sqref="A105">
      <formula1>$A$110:$A$113</formula1>
    </dataValidation>
    <dataValidation type="list" allowBlank="1" showInputMessage="1" showErrorMessage="1" sqref="D83:D85 D87:D88">
      <formula1>"1,2"</formula1>
    </dataValidation>
    <dataValidation type="list" allowBlank="1" showInputMessage="1" showErrorMessage="1" errorTitle="超出范围" error="曝光时间的范围是63us-1s" prompt="突发采集模式只能在触发模式下选择" sqref="D63">
      <formula1>"Standard,HighSpeed"</formula1>
    </dataValidation>
    <dataValidation type="whole" allowBlank="1" showInputMessage="1" showErrorMessage="1" errorTitle="设置值超出范围" error="预留带宽设置值超出范围" sqref="D79">
      <formula1>0</formula1>
      <formula2>J79</formula2>
    </dataValidation>
    <dataValidation type="whole" allowBlank="1" showInputMessage="1" showErrorMessage="1" errorTitle="设置值超出范围" error="包间隔设置值超出范围" sqref="D78">
      <formula1>J88</formula1>
      <formula2>J77</formula2>
    </dataValidation>
    <dataValidation type="list" allowBlank="1" showInputMessage="1" showErrorMessage="1" sqref="D76">
      <formula1>"1000,2500,5000,10000"</formula1>
    </dataValidation>
    <dataValidation type="whole" operator="lessThanOrEqual" allowBlank="1" showInputMessage="1" showErrorMessage="1" errorTitle="超出范围" error="ExposureOverlapTimeMax应小于（读出时间-两次曝光间隔最小值）" sqref="D56">
      <formula1>INT((J54-P55)*J50/1000)</formula1>
    </dataValidation>
    <dataValidation type="list" allowBlank="1" showInputMessage="1" showErrorMessage="1" sqref="C47">
      <formula1>$S$49:$S$56</formula1>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107"/>
  <sheetViews>
    <sheetView zoomScale="85" zoomScaleNormal="85" workbookViewId="0">
      <selection activeCell="C9" sqref="C9"/>
    </sheetView>
  </sheetViews>
  <sheetFormatPr defaultColWidth="9" defaultRowHeight="16.5"/>
  <cols>
    <col min="1" max="1" width="40.375" style="931" customWidth="1"/>
    <col min="2" max="2" width="28.75" style="931" bestFit="1" customWidth="1"/>
    <col min="3" max="3" width="19.75" style="931" bestFit="1" customWidth="1"/>
    <col min="4" max="4" width="29.375" style="931" customWidth="1"/>
    <col min="5" max="5" width="6.75" style="931" bestFit="1" customWidth="1"/>
    <col min="6" max="6" width="9.5" style="931" bestFit="1" customWidth="1"/>
    <col min="7" max="7" width="26.25" style="931" bestFit="1" customWidth="1"/>
    <col min="8" max="8" width="41.25" style="931" bestFit="1" customWidth="1"/>
    <col min="9" max="9" width="74.75" style="931" customWidth="1"/>
    <col min="10" max="10" width="13.875" style="931" bestFit="1" customWidth="1"/>
    <col min="11" max="11" width="6.75" style="931" bestFit="1" customWidth="1"/>
    <col min="12" max="12" width="4.5" style="931" customWidth="1"/>
    <col min="13" max="13" width="29.5" style="931" bestFit="1" customWidth="1"/>
    <col min="14" max="14" width="57.875" style="931" bestFit="1" customWidth="1"/>
    <col min="15" max="15" width="52.625" style="931" bestFit="1" customWidth="1"/>
    <col min="16" max="16" width="14.5" style="931" bestFit="1" customWidth="1"/>
    <col min="17" max="17" width="8.25" style="931" bestFit="1" customWidth="1"/>
    <col min="18" max="18" width="4.875" style="931" customWidth="1"/>
    <col min="19" max="19" width="26" style="931" bestFit="1" customWidth="1"/>
    <col min="20" max="20" width="31.5" style="931" bestFit="1" customWidth="1"/>
    <col min="21" max="21" width="13.75" style="931" customWidth="1"/>
    <col min="22" max="22" width="28.25" style="931" customWidth="1"/>
    <col min="23" max="23" width="10" style="931" bestFit="1" customWidth="1"/>
    <col min="24" max="24" width="44.5" style="931" customWidth="1"/>
    <col min="25" max="26" width="10.875" style="931" bestFit="1" customWidth="1"/>
    <col min="27" max="27" width="18.625" style="931" bestFit="1" customWidth="1"/>
    <col min="28" max="29" width="20.25" style="931" bestFit="1" customWidth="1"/>
    <col min="30" max="30" width="20.625" style="931" customWidth="1"/>
    <col min="31" max="31" width="12.625" style="931" customWidth="1"/>
    <col min="32" max="32" width="11.625" style="931" bestFit="1" customWidth="1"/>
    <col min="33" max="33" width="13" style="931" bestFit="1" customWidth="1"/>
    <col min="34" max="35" width="12.75" style="931" bestFit="1" customWidth="1"/>
    <col min="36" max="36" width="11.875" style="931" customWidth="1"/>
    <col min="37" max="37" width="20.75" style="931" bestFit="1" customWidth="1"/>
    <col min="38" max="38" width="17.625" style="931" bestFit="1" customWidth="1"/>
    <col min="39" max="39" width="14.125" style="931" bestFit="1" customWidth="1"/>
    <col min="40" max="41" width="11.875" style="931" bestFit="1" customWidth="1"/>
    <col min="42" max="16384" width="9" style="931"/>
  </cols>
  <sheetData>
    <row r="1" spans="1:10" s="1038" customFormat="1" ht="20.100000000000001" customHeight="1">
      <c r="A1" s="920" t="s">
        <v>1230</v>
      </c>
      <c r="B1" s="921"/>
      <c r="C1" s="1039"/>
      <c r="D1" s="1039"/>
      <c r="E1" s="1039"/>
      <c r="F1" s="1039"/>
      <c r="G1" s="1039"/>
      <c r="H1" s="1039"/>
      <c r="I1" s="1039"/>
      <c r="J1" s="1039"/>
    </row>
    <row r="2" spans="1:10" s="1038" customFormat="1" ht="20.100000000000001" customHeight="1">
      <c r="A2" s="920" t="s">
        <v>17</v>
      </c>
      <c r="B2" s="920">
        <f>IF(B8=2,1296,IF(B6=1,2592,IF(B6=2,1296,IF(B6=4,648,2592))))</f>
        <v>2592</v>
      </c>
      <c r="C2" s="1039"/>
      <c r="D2" s="1039"/>
      <c r="E2" s="1039"/>
      <c r="F2" s="1039"/>
      <c r="G2" s="1039"/>
      <c r="H2" s="1039"/>
      <c r="I2" s="1039"/>
      <c r="J2" s="1039"/>
    </row>
    <row r="3" spans="1:10" s="1038" customFormat="1" ht="20.100000000000001" customHeight="1">
      <c r="A3" s="920" t="s">
        <v>18</v>
      </c>
      <c r="B3" s="920">
        <f>IF(B8=2,1028,IF(B7=1,2048,IF(B7=2,1028,IF(B7=4,512,2048))))</f>
        <v>2048</v>
      </c>
      <c r="C3" s="1039"/>
      <c r="D3" s="1039"/>
      <c r="E3" s="1039"/>
      <c r="F3" s="1039"/>
      <c r="G3" s="1039"/>
      <c r="H3" s="1039"/>
      <c r="I3" s="1039"/>
      <c r="J3" s="1039"/>
    </row>
    <row r="4" spans="1:10" s="1038" customFormat="1" ht="20.100000000000001" customHeight="1">
      <c r="A4" s="920" t="s">
        <v>19</v>
      </c>
      <c r="B4" s="921">
        <v>2592</v>
      </c>
      <c r="C4" s="1086" t="str">
        <f>IF(OR(B4&gt;B2,B4&lt;4),I25,"")</f>
        <v/>
      </c>
      <c r="D4" s="1039"/>
      <c r="E4" s="1039"/>
      <c r="F4" s="1039"/>
      <c r="G4" s="1039"/>
      <c r="H4" s="1039"/>
      <c r="I4" s="1039"/>
      <c r="J4" s="1039"/>
    </row>
    <row r="5" spans="1:10" s="1038" customFormat="1" ht="20.100000000000001" customHeight="1">
      <c r="A5" s="920" t="s">
        <v>20</v>
      </c>
      <c r="B5" s="921">
        <v>2048</v>
      </c>
      <c r="C5" s="1086" t="str">
        <f>IF(OR(B5&gt;B3,B5&lt;2),I26,"")</f>
        <v/>
      </c>
      <c r="D5" s="1039"/>
      <c r="E5" s="1039"/>
      <c r="F5" s="1039"/>
      <c r="G5" s="1039"/>
      <c r="H5" s="1039"/>
      <c r="I5" s="1039"/>
      <c r="J5" s="1039"/>
    </row>
    <row r="6" spans="1:10" s="1038" customFormat="1" ht="20.100000000000001" customHeight="1">
      <c r="A6" s="920" t="s">
        <v>21</v>
      </c>
      <c r="B6" s="921">
        <v>1</v>
      </c>
      <c r="C6" s="1039"/>
      <c r="D6" s="1039"/>
      <c r="E6" s="1039"/>
      <c r="F6" s="1039"/>
      <c r="G6" s="1039"/>
      <c r="H6" s="1039"/>
      <c r="I6" s="1039"/>
      <c r="J6" s="1039"/>
    </row>
    <row r="7" spans="1:10" s="1038" customFormat="1" ht="20.100000000000001" customHeight="1">
      <c r="A7" s="920" t="s">
        <v>1229</v>
      </c>
      <c r="B7" s="921">
        <v>1</v>
      </c>
      <c r="C7" s="1039"/>
      <c r="D7" s="1039"/>
      <c r="E7" s="1039"/>
      <c r="F7" s="1039"/>
      <c r="G7" s="1039"/>
      <c r="H7" s="1039"/>
      <c r="I7" s="1039"/>
      <c r="J7" s="1039"/>
    </row>
    <row r="8" spans="1:10" s="1038" customFormat="1" ht="20.100000000000001" customHeight="1">
      <c r="A8" s="920" t="s">
        <v>1228</v>
      </c>
      <c r="B8" s="921">
        <v>1</v>
      </c>
      <c r="C8" s="1039"/>
      <c r="D8" s="1039"/>
      <c r="E8" s="1039"/>
      <c r="F8" s="1039"/>
      <c r="G8" s="1039"/>
      <c r="H8" s="1039"/>
      <c r="I8" s="1039"/>
      <c r="J8" s="1039"/>
    </row>
    <row r="9" spans="1:10" s="1038" customFormat="1" ht="20.100000000000001" customHeight="1">
      <c r="A9" s="920" t="s">
        <v>1227</v>
      </c>
      <c r="B9" s="921" t="s">
        <v>481</v>
      </c>
      <c r="C9" s="1039"/>
      <c r="D9" s="1039"/>
      <c r="E9" s="1039"/>
      <c r="F9" s="1039"/>
      <c r="G9" s="1039"/>
      <c r="H9" s="1039"/>
      <c r="I9" s="1039"/>
      <c r="J9" s="1039"/>
    </row>
    <row r="10" spans="1:10" s="1038" customFormat="1" ht="20.100000000000001" customHeight="1">
      <c r="A10" s="920" t="s">
        <v>25</v>
      </c>
      <c r="B10" s="921">
        <v>10000</v>
      </c>
      <c r="C10" s="1039"/>
      <c r="D10" s="1039"/>
      <c r="E10" s="1039"/>
      <c r="F10" s="1039"/>
      <c r="G10" s="1039"/>
      <c r="H10" s="1039"/>
      <c r="I10" s="1039"/>
      <c r="J10" s="1039"/>
    </row>
    <row r="11" spans="1:10" s="1038" customFormat="1" ht="20.100000000000001" customHeight="1">
      <c r="A11" s="920" t="s">
        <v>35</v>
      </c>
      <c r="B11" s="921">
        <v>0</v>
      </c>
      <c r="C11" s="1039"/>
      <c r="D11" s="1039"/>
      <c r="E11" s="1039"/>
      <c r="F11" s="1039"/>
      <c r="G11" s="1039"/>
      <c r="H11" s="1039"/>
      <c r="I11" s="1039"/>
      <c r="J11" s="1039"/>
    </row>
    <row r="12" spans="1:10" s="1038" customFormat="1" ht="20.100000000000001" customHeight="1">
      <c r="A12" s="920" t="s">
        <v>1226</v>
      </c>
      <c r="B12" s="921">
        <v>10</v>
      </c>
      <c r="C12" s="1039"/>
      <c r="D12" s="1039"/>
      <c r="E12" s="1039"/>
      <c r="F12" s="1039"/>
      <c r="G12" s="1039"/>
      <c r="H12" s="1039"/>
      <c r="I12" s="1039"/>
      <c r="J12" s="1039"/>
    </row>
    <row r="13" spans="1:10" s="1038" customFormat="1" ht="20.100000000000001" customHeight="1">
      <c r="A13" s="920" t="s">
        <v>1225</v>
      </c>
      <c r="B13" s="921">
        <v>8</v>
      </c>
      <c r="C13" s="1039"/>
      <c r="D13" s="1039"/>
      <c r="E13" s="1039"/>
      <c r="F13" s="1039"/>
      <c r="G13" s="1039"/>
      <c r="H13" s="1039"/>
      <c r="I13" s="1039"/>
      <c r="J13" s="1039"/>
    </row>
    <row r="14" spans="1:10" s="1038" customFormat="1" ht="20.100000000000001" customHeight="1">
      <c r="A14" s="920" t="s">
        <v>36</v>
      </c>
      <c r="B14" s="921">
        <v>0</v>
      </c>
      <c r="C14" s="1039"/>
      <c r="D14" s="1039"/>
      <c r="E14" s="1039"/>
      <c r="F14" s="1039"/>
      <c r="G14" s="1039"/>
      <c r="H14" s="1039"/>
      <c r="I14" s="1039"/>
      <c r="J14" s="1039"/>
    </row>
    <row r="15" spans="1:10" s="1038" customFormat="1" ht="20.100000000000001" customHeight="1">
      <c r="A15" s="920" t="s">
        <v>27</v>
      </c>
      <c r="B15" s="921">
        <v>10000</v>
      </c>
      <c r="C15" s="1039"/>
      <c r="D15" s="1039"/>
      <c r="E15" s="1039"/>
      <c r="F15" s="1039"/>
      <c r="G15" s="1039"/>
      <c r="H15" s="1039"/>
      <c r="I15" s="1039"/>
      <c r="J15" s="1039"/>
    </row>
    <row r="16" spans="1:10" s="1038" customFormat="1" ht="20.100000000000001" customHeight="1">
      <c r="A16" s="920" t="s">
        <v>28</v>
      </c>
      <c r="B16" s="921">
        <v>0</v>
      </c>
      <c r="C16" s="1039"/>
      <c r="D16" s="1039"/>
      <c r="E16" s="1039"/>
      <c r="F16" s="1039"/>
      <c r="G16" s="1039"/>
      <c r="H16" s="1039"/>
      <c r="I16" s="1039"/>
      <c r="J16" s="1039"/>
    </row>
    <row r="17" spans="1:10" s="1038" customFormat="1" ht="20.100000000000001" customHeight="1">
      <c r="A17" s="920" t="s">
        <v>29</v>
      </c>
      <c r="B17" s="921">
        <v>132</v>
      </c>
      <c r="C17" s="1039"/>
      <c r="D17" s="1039"/>
      <c r="E17" s="1039"/>
      <c r="F17" s="1039"/>
      <c r="G17" s="1039"/>
      <c r="H17" s="1039"/>
      <c r="I17" s="1039"/>
      <c r="J17" s="1039"/>
    </row>
    <row r="18" spans="1:10" s="1038" customFormat="1" ht="20.100000000000001" customHeight="1">
      <c r="A18" s="920" t="s">
        <v>30</v>
      </c>
      <c r="B18" s="921">
        <v>2</v>
      </c>
      <c r="C18" s="1039"/>
      <c r="D18" s="1039"/>
      <c r="E18" s="1039"/>
      <c r="F18" s="1039"/>
      <c r="G18" s="1039"/>
      <c r="H18" s="1039"/>
      <c r="I18" s="1039"/>
      <c r="J18" s="1039"/>
    </row>
    <row r="19" spans="1:10" s="1038" customFormat="1" ht="20.100000000000001" customHeight="1">
      <c r="A19" s="920" t="s">
        <v>31</v>
      </c>
      <c r="B19" s="920">
        <f>J74</f>
        <v>99</v>
      </c>
      <c r="C19" s="1039"/>
      <c r="D19" s="1039"/>
      <c r="E19" s="1039"/>
      <c r="F19" s="1039"/>
      <c r="G19" s="1039"/>
      <c r="H19" s="1039"/>
      <c r="I19" s="1039"/>
      <c r="J19" s="1039"/>
    </row>
    <row r="20" spans="1:10" s="1038" customFormat="1" ht="20.100000000000001" customHeight="1">
      <c r="A20" s="920" t="s">
        <v>32</v>
      </c>
      <c r="B20" s="921">
        <v>0</v>
      </c>
      <c r="C20" s="1039"/>
      <c r="D20" s="1039"/>
      <c r="E20" s="1039"/>
      <c r="F20" s="1039"/>
      <c r="G20" s="1039"/>
      <c r="H20" s="1039"/>
      <c r="I20" s="1039"/>
      <c r="J20" s="1039"/>
    </row>
    <row r="21" spans="1:10" s="1038" customFormat="1" ht="20.100000000000001" customHeight="1">
      <c r="A21" s="920" t="s">
        <v>33</v>
      </c>
      <c r="B21" s="920">
        <f>J72</f>
        <v>2699992</v>
      </c>
      <c r="C21" s="1039"/>
      <c r="D21" s="1039"/>
      <c r="E21" s="1039"/>
      <c r="F21" s="1039"/>
      <c r="G21" s="1039"/>
      <c r="H21" s="1039"/>
      <c r="I21" s="1039"/>
      <c r="J21" s="1039"/>
    </row>
    <row r="22" spans="1:10" s="1038" customFormat="1" ht="20.100000000000001" customHeight="1">
      <c r="A22" s="920" t="s">
        <v>34</v>
      </c>
      <c r="B22" s="921">
        <v>1500</v>
      </c>
      <c r="C22" s="1039"/>
      <c r="D22" s="1039"/>
      <c r="E22" s="1039"/>
      <c r="F22" s="1039"/>
      <c r="G22" s="1039"/>
      <c r="H22" s="1039"/>
      <c r="I22" s="1039"/>
      <c r="J22" s="1039"/>
    </row>
    <row r="23" spans="1:10" s="1038" customFormat="1" ht="20.100000000000001" customHeight="1">
      <c r="A23" s="920"/>
      <c r="B23" s="921"/>
      <c r="C23" s="1039"/>
      <c r="D23" s="1039"/>
      <c r="E23" s="1039"/>
      <c r="F23" s="1039"/>
      <c r="G23" s="1039"/>
      <c r="H23" s="1039"/>
      <c r="I23" s="1039"/>
      <c r="J23" s="1039"/>
    </row>
    <row r="24" spans="1:10" s="1038" customFormat="1" ht="20.100000000000001" customHeight="1">
      <c r="A24" s="394" t="s">
        <v>1224</v>
      </c>
      <c r="B24" s="922">
        <f>D90</f>
        <v>97.75171065493646</v>
      </c>
      <c r="C24" s="1039"/>
      <c r="D24" s="1039"/>
      <c r="E24" s="1039"/>
      <c r="F24" s="1039"/>
      <c r="G24" s="1039"/>
      <c r="H24" s="1039"/>
      <c r="I24" s="1039"/>
      <c r="J24" s="1039"/>
    </row>
    <row r="25" spans="1:10" hidden="1">
      <c r="I25" s="1018" t="s">
        <v>1573</v>
      </c>
    </row>
    <row r="26" spans="1:10" hidden="1">
      <c r="I26" s="1018" t="s">
        <v>1574</v>
      </c>
    </row>
    <row r="41" spans="1:41" ht="27.75" customHeight="1"/>
    <row r="43" spans="1:41" hidden="1"/>
    <row r="44" spans="1:41" hidden="1"/>
    <row r="45" spans="1:41" ht="17.25" hidden="1" thickBot="1"/>
    <row r="46" spans="1:41" ht="17.25" hidden="1" thickBot="1">
      <c r="A46" s="1037" t="s">
        <v>1223</v>
      </c>
      <c r="B46" s="1037" t="s">
        <v>1222</v>
      </c>
      <c r="C46" s="1036" t="s">
        <v>745</v>
      </c>
      <c r="D46" s="932"/>
      <c r="E46" s="932"/>
      <c r="S46" s="932"/>
      <c r="T46" s="932"/>
      <c r="U46" s="932"/>
      <c r="V46" s="932"/>
      <c r="W46" s="932"/>
      <c r="X46" s="932"/>
    </row>
    <row r="47" spans="1:41" ht="33.75" hidden="1" thickBot="1">
      <c r="A47" s="1035" t="s">
        <v>1221</v>
      </c>
      <c r="B47" s="1034" t="s">
        <v>1220</v>
      </c>
      <c r="C47" s="1033" t="s">
        <v>1219</v>
      </c>
      <c r="D47" s="932"/>
      <c r="E47" s="932"/>
      <c r="G47" s="1186" t="s">
        <v>1218</v>
      </c>
      <c r="H47" s="1187"/>
      <c r="I47" s="1187"/>
      <c r="J47" s="1187"/>
      <c r="K47" s="1188"/>
      <c r="M47" s="1186" t="s">
        <v>1217</v>
      </c>
      <c r="N47" s="1187"/>
      <c r="O47" s="1187"/>
      <c r="P47" s="1187"/>
      <c r="Q47" s="1188"/>
      <c r="S47" s="1194" t="s">
        <v>1216</v>
      </c>
      <c r="T47" s="1195"/>
      <c r="U47" s="1195"/>
      <c r="V47" s="1195"/>
      <c r="W47" s="1195"/>
      <c r="X47" s="1195"/>
      <c r="Y47" s="1195"/>
      <c r="Z47" s="1195"/>
      <c r="AA47" s="1195"/>
      <c r="AB47" s="1195"/>
      <c r="AC47" s="1195"/>
      <c r="AD47" s="1195"/>
      <c r="AE47" s="1195"/>
      <c r="AF47" s="1195"/>
      <c r="AG47" s="1195"/>
      <c r="AH47" s="1195"/>
      <c r="AI47" s="1195"/>
      <c r="AJ47" s="1195"/>
      <c r="AK47" s="1195"/>
      <c r="AL47" s="1195"/>
      <c r="AM47" s="1195"/>
      <c r="AN47" s="1195"/>
      <c r="AO47" s="1195"/>
    </row>
    <row r="48" spans="1:41" ht="49.5" hidden="1">
      <c r="A48" s="1187" t="s">
        <v>1215</v>
      </c>
      <c r="B48" s="1187"/>
      <c r="C48" s="1187"/>
      <c r="D48" s="1187"/>
      <c r="E48" s="1188"/>
      <c r="G48" s="990" t="s">
        <v>1185</v>
      </c>
      <c r="H48" s="989" t="s">
        <v>1184</v>
      </c>
      <c r="I48" s="1032" t="s">
        <v>1183</v>
      </c>
      <c r="J48" s="989" t="s">
        <v>1214</v>
      </c>
      <c r="K48" s="1031" t="s">
        <v>1181</v>
      </c>
      <c r="M48" s="1169" t="s">
        <v>1213</v>
      </c>
      <c r="N48" s="1170"/>
      <c r="O48" s="1170"/>
      <c r="P48" s="1170"/>
      <c r="Q48" s="1171"/>
      <c r="S48" s="1030" t="s">
        <v>1212</v>
      </c>
      <c r="T48" s="1028" t="s">
        <v>1211</v>
      </c>
      <c r="U48" s="1028" t="s">
        <v>1210</v>
      </c>
      <c r="V48" s="1028" t="s">
        <v>1209</v>
      </c>
      <c r="W48" s="1028" t="s">
        <v>1208</v>
      </c>
      <c r="X48" s="1028" t="s">
        <v>1207</v>
      </c>
      <c r="Y48" s="1028" t="s">
        <v>1206</v>
      </c>
      <c r="Z48" s="1028" t="s">
        <v>1205</v>
      </c>
      <c r="AA48" s="1028" t="s">
        <v>1204</v>
      </c>
      <c r="AB48" s="1028" t="s">
        <v>1203</v>
      </c>
      <c r="AC48" s="1028" t="s">
        <v>1202</v>
      </c>
      <c r="AD48" s="1028" t="s">
        <v>1201</v>
      </c>
      <c r="AE48" s="1029" t="s">
        <v>1200</v>
      </c>
      <c r="AF48" s="1028" t="s">
        <v>1199</v>
      </c>
      <c r="AG48" s="1028" t="s">
        <v>1198</v>
      </c>
      <c r="AH48" s="1028" t="s">
        <v>1197</v>
      </c>
      <c r="AI48" s="1028" t="s">
        <v>1196</v>
      </c>
      <c r="AJ48" s="1028" t="s">
        <v>1195</v>
      </c>
      <c r="AK48" s="1028" t="s">
        <v>1194</v>
      </c>
      <c r="AL48" s="1027" t="s">
        <v>1193</v>
      </c>
      <c r="AM48" s="1027" t="s">
        <v>1192</v>
      </c>
      <c r="AN48" s="1026" t="s">
        <v>1191</v>
      </c>
      <c r="AO48" s="1026" t="s">
        <v>1190</v>
      </c>
    </row>
    <row r="49" spans="1:41" ht="33.75" hidden="1" thickBot="1">
      <c r="A49" s="989" t="s">
        <v>1185</v>
      </c>
      <c r="B49" s="989" t="s">
        <v>1189</v>
      </c>
      <c r="C49" s="989" t="s">
        <v>1188</v>
      </c>
      <c r="D49" s="989" t="s">
        <v>1187</v>
      </c>
      <c r="E49" s="1009" t="s">
        <v>1181</v>
      </c>
      <c r="G49" s="1169" t="s">
        <v>1186</v>
      </c>
      <c r="H49" s="1170"/>
      <c r="I49" s="1170"/>
      <c r="J49" s="1170"/>
      <c r="K49" s="1171"/>
      <c r="M49" s="990" t="s">
        <v>1185</v>
      </c>
      <c r="N49" s="989" t="s">
        <v>1184</v>
      </c>
      <c r="O49" s="989" t="s">
        <v>1183</v>
      </c>
      <c r="P49" s="989" t="s">
        <v>1182</v>
      </c>
      <c r="Q49" s="988" t="s">
        <v>1181</v>
      </c>
      <c r="S49" s="1025" t="s">
        <v>1180</v>
      </c>
      <c r="T49" s="1024" t="s">
        <v>1179</v>
      </c>
      <c r="U49" s="1024" t="s">
        <v>1178</v>
      </c>
      <c r="V49" s="1024">
        <v>60000</v>
      </c>
      <c r="W49" s="1024">
        <v>1</v>
      </c>
      <c r="X49" s="1024">
        <v>8</v>
      </c>
      <c r="Y49" s="1023">
        <v>0</v>
      </c>
      <c r="Z49" s="1023">
        <v>0</v>
      </c>
      <c r="AA49" s="1023">
        <v>2592</v>
      </c>
      <c r="AB49" s="935">
        <v>4</v>
      </c>
      <c r="AC49" s="1023">
        <v>2592</v>
      </c>
      <c r="AD49" s="1023">
        <v>2056</v>
      </c>
      <c r="AE49" s="935">
        <f>IF(D52=12,356,IF(D52=10,209,192))</f>
        <v>209</v>
      </c>
      <c r="AF49" s="935">
        <f>76+AM49+2*Z49</f>
        <v>84</v>
      </c>
      <c r="AG49" s="935">
        <v>69</v>
      </c>
      <c r="AH49" s="935">
        <v>14802</v>
      </c>
      <c r="AI49" s="935">
        <v>8</v>
      </c>
      <c r="AJ49" s="935">
        <v>10000</v>
      </c>
      <c r="AK49" s="935">
        <v>132</v>
      </c>
      <c r="AL49" s="1022" t="s">
        <v>1177</v>
      </c>
      <c r="AM49" s="1022">
        <v>8</v>
      </c>
      <c r="AN49" s="1021">
        <v>125000</v>
      </c>
      <c r="AO49" s="1021">
        <v>156250</v>
      </c>
    </row>
    <row r="50" spans="1:41" ht="33" hidden="1">
      <c r="A50" s="1170" t="s">
        <v>1176</v>
      </c>
      <c r="B50" s="1170"/>
      <c r="C50" s="1170"/>
      <c r="D50" s="1170"/>
      <c r="E50" s="1171"/>
      <c r="G50" s="953" t="s">
        <v>1175</v>
      </c>
      <c r="H50" s="952" t="s">
        <v>1174</v>
      </c>
      <c r="I50" s="1019" t="s">
        <v>1173</v>
      </c>
      <c r="J50" s="1020">
        <f>ROUNDUP(1000000*P53/P50,0)</f>
        <v>3484</v>
      </c>
      <c r="K50" s="956" t="s">
        <v>1126</v>
      </c>
      <c r="M50" s="962" t="s">
        <v>633</v>
      </c>
      <c r="N50" s="961" t="s">
        <v>1172</v>
      </c>
      <c r="O50" s="961" t="s">
        <v>1171</v>
      </c>
      <c r="P50" s="974">
        <f>VLOOKUP($C$47,$S$49:$AL$64,4,FALSE)</f>
        <v>60000</v>
      </c>
      <c r="Q50" s="959" t="s">
        <v>1170</v>
      </c>
      <c r="S50" s="1017"/>
      <c r="T50" s="1017"/>
      <c r="U50" s="1017"/>
      <c r="V50" s="1018"/>
      <c r="W50" s="1017"/>
      <c r="X50" s="1017"/>
      <c r="Y50" s="1017"/>
      <c r="Z50" s="1017"/>
      <c r="AA50" s="1017"/>
      <c r="AB50" s="1017"/>
      <c r="AC50" s="1017"/>
      <c r="AD50" s="1017"/>
      <c r="AE50" s="1018"/>
      <c r="AF50" s="1017"/>
      <c r="AG50" s="1017"/>
      <c r="AH50" s="1017"/>
      <c r="AI50" s="1017"/>
      <c r="AJ50" s="1017"/>
      <c r="AK50" s="1018"/>
      <c r="AL50" s="1017"/>
      <c r="AM50" s="1017"/>
      <c r="AN50" s="1017"/>
      <c r="AO50" s="1017"/>
    </row>
    <row r="51" spans="1:41" ht="82.5" hidden="1">
      <c r="A51" s="952" t="str">
        <f>VLOOKUP($C$47,$S$49:$AL$64,20,FALSE)</f>
        <v>像素格式(8/10/12)</v>
      </c>
      <c r="B51" s="952" t="s">
        <v>1169</v>
      </c>
      <c r="C51" s="952">
        <v>8</v>
      </c>
      <c r="D51" s="975">
        <f>B13</f>
        <v>8</v>
      </c>
      <c r="E51" s="950" t="s">
        <v>889</v>
      </c>
      <c r="G51" s="953" t="s">
        <v>1168</v>
      </c>
      <c r="H51" s="952" t="s">
        <v>1167</v>
      </c>
      <c r="I51" s="1019" t="s">
        <v>1166</v>
      </c>
      <c r="J51" s="951">
        <f>IF(D57="Ultra Short",MAX(J54,J55,J56,J57),IF(D55="TriggerWidth",ROUNDUP(MAX(J54,J77,J56)*J50/1000,0),ROUNDUP(MAX(J54,J55,J56,J57)*J50/1000,0)))</f>
        <v>10230</v>
      </c>
      <c r="K51" s="956" t="s">
        <v>1133</v>
      </c>
      <c r="M51" s="962" t="s">
        <v>1165</v>
      </c>
      <c r="N51" s="961" t="s">
        <v>1164</v>
      </c>
      <c r="O51" s="961" t="s">
        <v>1096</v>
      </c>
      <c r="P51" s="974">
        <f>VLOOKUP($C$47,$S$49:$AL$64,7,FALSE)</f>
        <v>0</v>
      </c>
      <c r="Q51" s="959" t="s">
        <v>1105</v>
      </c>
      <c r="S51" s="1017"/>
      <c r="T51" s="1017"/>
      <c r="U51" s="1017"/>
      <c r="V51" s="1018"/>
      <c r="W51" s="1017"/>
      <c r="X51" s="1017"/>
      <c r="Y51" s="1017"/>
      <c r="Z51" s="1017"/>
      <c r="AA51" s="1017"/>
      <c r="AB51" s="1017"/>
      <c r="AC51" s="1017"/>
      <c r="AD51" s="1017"/>
      <c r="AE51" s="1018"/>
      <c r="AF51" s="1017"/>
      <c r="AG51" s="1017"/>
      <c r="AH51" s="1017"/>
      <c r="AI51" s="1017"/>
      <c r="AJ51" s="1017"/>
      <c r="AK51" s="1017"/>
      <c r="AL51" s="1017"/>
      <c r="AM51" s="1017"/>
      <c r="AN51" s="1017"/>
      <c r="AO51" s="1017"/>
    </row>
    <row r="52" spans="1:41" ht="33" hidden="1">
      <c r="A52" s="952" t="s">
        <v>1163</v>
      </c>
      <c r="B52" s="952" t="s">
        <v>1162</v>
      </c>
      <c r="C52" s="952">
        <v>10</v>
      </c>
      <c r="D52" s="975">
        <f>B12</f>
        <v>10</v>
      </c>
      <c r="E52" s="950" t="s">
        <v>1102</v>
      </c>
      <c r="G52" s="953" t="s">
        <v>1161</v>
      </c>
      <c r="H52" s="952" t="s">
        <v>1160</v>
      </c>
      <c r="I52" s="1019" t="s">
        <v>1159</v>
      </c>
      <c r="J52" s="951">
        <f>1000000/J51</f>
        <v>97.75171065493646</v>
      </c>
      <c r="K52" s="956" t="s">
        <v>1158</v>
      </c>
      <c r="M52" s="962" t="s">
        <v>1157</v>
      </c>
      <c r="N52" s="961" t="s">
        <v>1156</v>
      </c>
      <c r="O52" s="961" t="s">
        <v>1096</v>
      </c>
      <c r="P52" s="974">
        <f>VLOOKUP($C$47,$S$49:$AL$64,8,FALSE)</f>
        <v>0</v>
      </c>
      <c r="Q52" s="959" t="s">
        <v>1105</v>
      </c>
      <c r="S52" s="1017"/>
      <c r="T52" s="1017"/>
      <c r="U52" s="1017"/>
      <c r="V52" s="1018"/>
      <c r="W52" s="1017"/>
      <c r="X52" s="1017"/>
      <c r="Y52" s="1017"/>
      <c r="Z52" s="1017"/>
      <c r="AA52" s="1017"/>
      <c r="AB52" s="1017"/>
      <c r="AC52" s="1017"/>
      <c r="AD52" s="1017"/>
      <c r="AE52" s="1018"/>
      <c r="AF52" s="1017"/>
      <c r="AG52" s="1017"/>
      <c r="AH52" s="1017"/>
      <c r="AI52" s="1017"/>
      <c r="AJ52" s="1017"/>
      <c r="AK52" s="1017"/>
      <c r="AL52" s="1017"/>
      <c r="AM52" s="1017"/>
      <c r="AN52" s="1017"/>
      <c r="AO52" s="1017"/>
    </row>
    <row r="53" spans="1:41" hidden="1">
      <c r="A53" s="1170" t="s">
        <v>1117</v>
      </c>
      <c r="B53" s="1170"/>
      <c r="C53" s="1170"/>
      <c r="D53" s="1170"/>
      <c r="E53" s="1171"/>
      <c r="G53" s="1169" t="s">
        <v>1155</v>
      </c>
      <c r="H53" s="1170"/>
      <c r="I53" s="1170"/>
      <c r="J53" s="1170"/>
      <c r="K53" s="1171"/>
      <c r="M53" s="962" t="s">
        <v>1154</v>
      </c>
      <c r="N53" s="939" t="s">
        <v>1153</v>
      </c>
      <c r="O53" s="939" t="s">
        <v>1096</v>
      </c>
      <c r="P53" s="954">
        <f>VLOOKUP($C$47,$S$49:$AL$64,13,FALSE)</f>
        <v>209</v>
      </c>
      <c r="Q53" s="937" t="s">
        <v>1152</v>
      </c>
      <c r="S53" s="1017"/>
      <c r="T53" s="1017"/>
      <c r="U53" s="1017"/>
      <c r="V53" s="1018"/>
      <c r="W53" s="1017"/>
      <c r="X53" s="1017"/>
      <c r="Y53" s="1017"/>
      <c r="Z53" s="1017"/>
      <c r="AA53" s="1017"/>
      <c r="AB53" s="1017"/>
      <c r="AC53" s="1017"/>
      <c r="AD53" s="1017"/>
      <c r="AE53" s="1018"/>
      <c r="AF53" s="1017"/>
      <c r="AG53" s="1017"/>
      <c r="AH53" s="1017"/>
      <c r="AI53" s="1017"/>
      <c r="AJ53" s="1017"/>
      <c r="AK53" s="1017"/>
      <c r="AL53" s="1017"/>
      <c r="AM53" s="1017"/>
      <c r="AN53" s="1017"/>
      <c r="AO53" s="1017"/>
    </row>
    <row r="54" spans="1:41" ht="49.5" hidden="1">
      <c r="A54" s="952" t="s">
        <v>1151</v>
      </c>
      <c r="B54" s="952" t="s">
        <v>1150</v>
      </c>
      <c r="C54" s="952" t="s">
        <v>1149</v>
      </c>
      <c r="D54" s="975">
        <v>0</v>
      </c>
      <c r="E54" s="950" t="s">
        <v>986</v>
      </c>
      <c r="G54" s="953" t="s">
        <v>1148</v>
      </c>
      <c r="H54" s="952" t="s">
        <v>1147</v>
      </c>
      <c r="I54" s="952" t="s">
        <v>1146</v>
      </c>
      <c r="J54" s="951">
        <f>IF(D57="Ultra Short",ROUNDUP((D70*D85+P54+2)*J50/1000,0),IF(D54=1,D70*D85+P54+J55,D70*D85+P54))</f>
        <v>2132</v>
      </c>
      <c r="K54" s="1012" t="str">
        <f>IF(D57="Ultra Short","us","line")</f>
        <v>line</v>
      </c>
      <c r="M54" s="962" t="s">
        <v>1145</v>
      </c>
      <c r="N54" s="961" t="s">
        <v>1144</v>
      </c>
      <c r="O54" s="961" t="s">
        <v>1127</v>
      </c>
      <c r="P54" s="974">
        <f>VLOOKUP($C$47,$S$49:$AL$64,14,FALSE)</f>
        <v>84</v>
      </c>
      <c r="Q54" s="959" t="s">
        <v>1135</v>
      </c>
      <c r="S54" s="932"/>
      <c r="T54" s="932"/>
      <c r="U54" s="932"/>
      <c r="V54" s="932"/>
      <c r="W54" s="932"/>
      <c r="X54" s="932"/>
    </row>
    <row r="55" spans="1:41" ht="49.5" hidden="1">
      <c r="A55" s="952" t="s">
        <v>1143</v>
      </c>
      <c r="B55" s="952" t="s">
        <v>1142</v>
      </c>
      <c r="C55" s="952" t="s">
        <v>1141</v>
      </c>
      <c r="D55" s="975" t="s">
        <v>134</v>
      </c>
      <c r="E55" s="950" t="s">
        <v>889</v>
      </c>
      <c r="G55" s="953" t="s">
        <v>1140</v>
      </c>
      <c r="H55" s="952" t="s">
        <v>1139</v>
      </c>
      <c r="I55" s="952" t="s">
        <v>1138</v>
      </c>
      <c r="J55" s="951">
        <f>IF(D57="Ultra Short",J59+J60+J63+20,J59+IF(D74=1,0,J60)+P55)</f>
        <v>2936</v>
      </c>
      <c r="K55" s="1012" t="str">
        <f>IF(D57="Ultra Short","us","line")</f>
        <v>line</v>
      </c>
      <c r="M55" s="962" t="s">
        <v>1137</v>
      </c>
      <c r="N55" s="961" t="s">
        <v>1136</v>
      </c>
      <c r="O55" s="961" t="s">
        <v>1127</v>
      </c>
      <c r="P55" s="974">
        <f>VLOOKUP($C$47,$S$49:$AL$64,15,FALSE)</f>
        <v>69</v>
      </c>
      <c r="Q55" s="959" t="s">
        <v>1135</v>
      </c>
      <c r="S55" s="932"/>
      <c r="T55" s="932"/>
      <c r="U55" s="932"/>
      <c r="V55" s="932"/>
      <c r="W55" s="932"/>
      <c r="X55" s="932"/>
    </row>
    <row r="56" spans="1:41" ht="66" hidden="1">
      <c r="A56" s="952" t="str">
        <f>"交叠曝光时间
(0-"&amp;INT((J54-P55)*J50/1000)&amp;")"</f>
        <v>交叠曝光时间
(0-7187)</v>
      </c>
      <c r="B56" s="952" t="s">
        <v>1134</v>
      </c>
      <c r="C56" s="952">
        <f>INT((VLOOKUP($C$47,$S$49:$AO$65,12,FALSE)+VLOOKUP($C$47,$S$49:$AO$65,14,FALSE)-P55)*ROUNDUP(1000000*VLOOKUP($C$47,$S$49:$AO$65,13,FALSE)/P50,0)/1000)</f>
        <v>7215</v>
      </c>
      <c r="D56" s="975">
        <v>7215</v>
      </c>
      <c r="E56" s="950" t="s">
        <v>1133</v>
      </c>
      <c r="G56" s="953" t="s">
        <v>1132</v>
      </c>
      <c r="H56" s="952" t="s">
        <v>1131</v>
      </c>
      <c r="I56" s="952" t="s">
        <v>1130</v>
      </c>
      <c r="J56" s="951">
        <f>IF(D57="Ultra Short",ROUNDUP((1000000/D82)*D81,0),ROUNDUP(((1000000000/D82)/J50)*D81,0))</f>
        <v>0</v>
      </c>
      <c r="K56" s="1012" t="str">
        <f>IF(D57="Ultra Short","us","line")</f>
        <v>line</v>
      </c>
      <c r="M56" s="953" t="s">
        <v>1129</v>
      </c>
      <c r="N56" s="952" t="s">
        <v>1128</v>
      </c>
      <c r="O56" s="961" t="s">
        <v>1127</v>
      </c>
      <c r="P56" s="974">
        <f>VLOOKUP($C$47,$S$49:$AN$64,16,FALSE)</f>
        <v>14802</v>
      </c>
      <c r="Q56" s="956" t="s">
        <v>1126</v>
      </c>
      <c r="S56" s="932"/>
      <c r="T56" s="932"/>
      <c r="U56" s="932"/>
      <c r="V56" s="932"/>
      <c r="W56" s="932"/>
      <c r="X56" s="932"/>
    </row>
    <row r="57" spans="1:41" ht="49.5" hidden="1">
      <c r="A57" s="952" t="s">
        <v>1125</v>
      </c>
      <c r="B57" s="952" t="s">
        <v>1124</v>
      </c>
      <c r="C57" s="952" t="s">
        <v>1123</v>
      </c>
      <c r="D57" s="975" t="str">
        <f>B9</f>
        <v>Standard</v>
      </c>
      <c r="E57" s="950" t="s">
        <v>986</v>
      </c>
      <c r="G57" s="953" t="s">
        <v>1122</v>
      </c>
      <c r="H57" s="952" t="s">
        <v>1121</v>
      </c>
      <c r="I57" s="952" t="s">
        <v>1120</v>
      </c>
      <c r="J57" s="951">
        <f>IF(D62=0,P92,IF(D63="Standard",P94,0))</f>
        <v>1314</v>
      </c>
      <c r="K57" s="1012" t="str">
        <f>IF(D57="Ultra Short","us","line")</f>
        <v>line</v>
      </c>
      <c r="M57" s="953" t="s">
        <v>1119</v>
      </c>
      <c r="N57" s="952" t="s">
        <v>1118</v>
      </c>
      <c r="O57" s="961" t="s">
        <v>1096</v>
      </c>
      <c r="P57" s="974">
        <f>VLOOKUP($C$47,$S$49:$AL$64,5,FALSE)</f>
        <v>1</v>
      </c>
      <c r="Q57" s="956" t="s">
        <v>1095</v>
      </c>
      <c r="S57" s="932"/>
      <c r="T57" s="932"/>
      <c r="U57" s="932"/>
      <c r="V57" s="932"/>
      <c r="W57" s="932"/>
      <c r="X57" s="932"/>
    </row>
    <row r="58" spans="1:41" hidden="1">
      <c r="A58" s="952" t="s">
        <v>1117</v>
      </c>
      <c r="B58" s="952" t="s">
        <v>1116</v>
      </c>
      <c r="C58" s="952">
        <f>VLOOKUP($C$47,$S$49:$AL$64,18,FALSE)</f>
        <v>10000</v>
      </c>
      <c r="D58" s="975">
        <f>B10</f>
        <v>10000</v>
      </c>
      <c r="E58" s="950" t="s">
        <v>916</v>
      </c>
      <c r="G58" s="1169" t="s">
        <v>1115</v>
      </c>
      <c r="H58" s="1170"/>
      <c r="I58" s="1170"/>
      <c r="J58" s="1170"/>
      <c r="K58" s="1171"/>
      <c r="M58" s="953" t="s">
        <v>1114</v>
      </c>
      <c r="N58" s="952" t="s">
        <v>1113</v>
      </c>
      <c r="O58" s="961" t="s">
        <v>1096</v>
      </c>
      <c r="P58" s="974">
        <f>VLOOKUP($C$47,$S$49:$AL$64,6,FALSE)</f>
        <v>8</v>
      </c>
      <c r="Q58" s="956" t="s">
        <v>1095</v>
      </c>
    </row>
    <row r="59" spans="1:41" ht="49.5" hidden="1">
      <c r="A59" s="952" t="s">
        <v>1112</v>
      </c>
      <c r="B59" s="952" t="s">
        <v>1111</v>
      </c>
      <c r="C59" s="952">
        <v>0</v>
      </c>
      <c r="D59" s="975">
        <f>B11</f>
        <v>0</v>
      </c>
      <c r="E59" s="950" t="s">
        <v>916</v>
      </c>
      <c r="G59" s="955" t="s">
        <v>1110</v>
      </c>
      <c r="H59" s="939" t="s">
        <v>1109</v>
      </c>
      <c r="I59" s="939" t="s">
        <v>1108</v>
      </c>
      <c r="J59" s="954">
        <f>IF(D57="Ultra Short",IF(D58&gt;14,ROUNDUP((1000*D58-P56)/1000,0),1),MAX(ROUNDUP(((1000*D58-P56)/J50),0),1))</f>
        <v>2867</v>
      </c>
      <c r="K59" s="1016" t="str">
        <f>IF(D57="Ultra Short","us","line")</f>
        <v>line</v>
      </c>
      <c r="M59" s="953" t="s">
        <v>1107</v>
      </c>
      <c r="N59" s="952" t="s">
        <v>1106</v>
      </c>
      <c r="O59" s="961" t="s">
        <v>1096</v>
      </c>
      <c r="P59" s="974">
        <f>VLOOKUP($C$47,$S$49:$AL$64,11,FALSE)</f>
        <v>2592</v>
      </c>
      <c r="Q59" s="959" t="s">
        <v>1105</v>
      </c>
    </row>
    <row r="60" spans="1:41" ht="33" hidden="1">
      <c r="A60" s="1015" t="s">
        <v>1104</v>
      </c>
      <c r="B60" s="952" t="s">
        <v>1103</v>
      </c>
      <c r="C60" s="952" t="s">
        <v>1102</v>
      </c>
      <c r="D60" s="975">
        <v>2000</v>
      </c>
      <c r="E60" s="950" t="s">
        <v>916</v>
      </c>
      <c r="G60" s="953" t="s">
        <v>1101</v>
      </c>
      <c r="H60" s="952" t="s">
        <v>1100</v>
      </c>
      <c r="I60" s="952" t="s">
        <v>1099</v>
      </c>
      <c r="J60" s="951">
        <f>IF(D57="Ultra Short",D59,ROUNDUP(((1000*D59)/J50),0))</f>
        <v>0</v>
      </c>
      <c r="K60" s="1012" t="str">
        <f>IF(D57="Ultra Short","us","line")</f>
        <v>line</v>
      </c>
      <c r="M60" s="953" t="s">
        <v>1098</v>
      </c>
      <c r="N60" s="952" t="s">
        <v>1097</v>
      </c>
      <c r="O60" s="961" t="s">
        <v>1096</v>
      </c>
      <c r="P60" s="974">
        <f>VLOOKUP($C$47,$S$49:$AN$64,21,FALSE)</f>
        <v>8</v>
      </c>
      <c r="Q60" s="956" t="s">
        <v>1095</v>
      </c>
    </row>
    <row r="61" spans="1:41" hidden="1">
      <c r="A61" s="1193" t="s">
        <v>1094</v>
      </c>
      <c r="B61" s="1191"/>
      <c r="C61" s="1191"/>
      <c r="D61" s="1191"/>
      <c r="E61" s="1192"/>
      <c r="G61" s="953" t="s">
        <v>1093</v>
      </c>
      <c r="H61" s="952" t="s">
        <v>1092</v>
      </c>
      <c r="I61" s="952">
        <v>0</v>
      </c>
      <c r="J61" s="951">
        <v>0</v>
      </c>
      <c r="K61" s="956" t="s">
        <v>1082</v>
      </c>
      <c r="M61" s="953" t="s">
        <v>1091</v>
      </c>
      <c r="N61" s="952" t="s">
        <v>1090</v>
      </c>
      <c r="O61" s="961" t="s">
        <v>1089</v>
      </c>
      <c r="P61" s="974">
        <f>VLOOKUP($C$47,$S$49:$AN$64,22,FALSE)</f>
        <v>125000</v>
      </c>
      <c r="Q61" s="956" t="s">
        <v>1088</v>
      </c>
    </row>
    <row r="62" spans="1:41" ht="49.5" hidden="1">
      <c r="A62" s="953" t="s">
        <v>1087</v>
      </c>
      <c r="B62" s="952" t="s">
        <v>1086</v>
      </c>
      <c r="C62" s="952">
        <v>0</v>
      </c>
      <c r="D62" s="975">
        <f>B14</f>
        <v>0</v>
      </c>
      <c r="E62" s="1014" t="s">
        <v>889</v>
      </c>
      <c r="G62" s="953" t="s">
        <v>1085</v>
      </c>
      <c r="H62" s="952" t="s">
        <v>1084</v>
      </c>
      <c r="I62" s="952" t="s">
        <v>1083</v>
      </c>
      <c r="J62" s="951">
        <f>IF(D57="Ultra Short",IF((D58+4)&gt;100,(D58+4),100),IF((D58+4*J50/1000)&gt;100,(D58+4*J50/1000),100))</f>
        <v>10013.936</v>
      </c>
      <c r="K62" s="956" t="s">
        <v>1082</v>
      </c>
      <c r="M62" s="1169" t="s">
        <v>1081</v>
      </c>
      <c r="N62" s="1170"/>
      <c r="O62" s="1170"/>
      <c r="P62" s="1170"/>
      <c r="Q62" s="1171"/>
    </row>
    <row r="63" spans="1:41" ht="66" hidden="1">
      <c r="A63" s="1013" t="s">
        <v>1080</v>
      </c>
      <c r="B63" s="952" t="s">
        <v>1079</v>
      </c>
      <c r="C63" s="952" t="s">
        <v>1571</v>
      </c>
      <c r="D63" s="975" t="s">
        <v>1572</v>
      </c>
      <c r="E63" s="950" t="s">
        <v>986</v>
      </c>
      <c r="G63" s="953" t="s">
        <v>1078</v>
      </c>
      <c r="H63" s="952" t="s">
        <v>1077</v>
      </c>
      <c r="I63" s="952" t="s">
        <v>1076</v>
      </c>
      <c r="J63" s="951">
        <f>IF(D57="Ultra Short",ROUNDUP((VLOOKUP($C$47,$S$49:$AL$64,17,FALSE)+11+D70*D85)*J50/1000,0),VLOOKUP($C$47,$S$49:$AL$64,17,FALSE)+11+D70*D85)</f>
        <v>2067</v>
      </c>
      <c r="K63" s="1012" t="str">
        <f>IF(D57="Ultra Short","us","line")</f>
        <v>line</v>
      </c>
      <c r="M63" s="990" t="s">
        <v>1075</v>
      </c>
      <c r="N63" s="989" t="s">
        <v>939</v>
      </c>
      <c r="O63" s="989" t="s">
        <v>938</v>
      </c>
      <c r="P63" s="989" t="s">
        <v>937</v>
      </c>
      <c r="Q63" s="988" t="s">
        <v>1074</v>
      </c>
    </row>
    <row r="64" spans="1:41" hidden="1">
      <c r="A64" s="1170" t="s">
        <v>1073</v>
      </c>
      <c r="B64" s="1170"/>
      <c r="C64" s="1170"/>
      <c r="D64" s="1170"/>
      <c r="E64" s="1171"/>
      <c r="G64" s="1169" t="s">
        <v>1072</v>
      </c>
      <c r="H64" s="1170"/>
      <c r="I64" s="1170"/>
      <c r="J64" s="1170"/>
      <c r="K64" s="1171"/>
      <c r="M64" s="962" t="s">
        <v>1071</v>
      </c>
      <c r="N64" s="961" t="s">
        <v>1070</v>
      </c>
      <c r="O64" s="961" t="s">
        <v>1069</v>
      </c>
      <c r="P64" s="974">
        <v>7</v>
      </c>
      <c r="Q64" s="959" t="s">
        <v>813</v>
      </c>
      <c r="S64" s="949"/>
    </row>
    <row r="65" spans="1:36" ht="17.25" hidden="1" thickBot="1">
      <c r="A65" s="952" t="s">
        <v>1068</v>
      </c>
      <c r="B65" s="952" t="s">
        <v>1067</v>
      </c>
      <c r="C65" s="952">
        <v>0</v>
      </c>
      <c r="D65" s="975">
        <v>0</v>
      </c>
      <c r="E65" s="950" t="s">
        <v>1066</v>
      </c>
      <c r="G65" s="953" t="s">
        <v>1065</v>
      </c>
      <c r="H65" s="952" t="s">
        <v>1064</v>
      </c>
      <c r="I65" s="952" t="s">
        <v>1063</v>
      </c>
      <c r="J65" s="951">
        <f>J52*P80</f>
        <v>518906744.8680352</v>
      </c>
      <c r="K65" s="956" t="s">
        <v>1055</v>
      </c>
      <c r="M65" s="962" t="s">
        <v>1062</v>
      </c>
      <c r="N65" s="961" t="s">
        <v>1061</v>
      </c>
      <c r="O65" s="961" t="s">
        <v>1060</v>
      </c>
      <c r="P65" s="974">
        <v>1</v>
      </c>
      <c r="Q65" s="959" t="s">
        <v>819</v>
      </c>
      <c r="S65" s="949"/>
    </row>
    <row r="66" spans="1:36" ht="16.5" hidden="1" customHeight="1">
      <c r="A66" s="1170" t="s">
        <v>1059</v>
      </c>
      <c r="B66" s="1170"/>
      <c r="C66" s="1170"/>
      <c r="D66" s="1170"/>
      <c r="E66" s="1171"/>
      <c r="G66" s="1011" t="s">
        <v>1058</v>
      </c>
      <c r="H66" s="447" t="s">
        <v>1057</v>
      </c>
      <c r="I66" s="952" t="s">
        <v>1056</v>
      </c>
      <c r="J66" s="951">
        <f>J52*P88</f>
        <v>540882502.4437927</v>
      </c>
      <c r="K66" s="956" t="s">
        <v>1055</v>
      </c>
      <c r="M66" s="962" t="s">
        <v>1054</v>
      </c>
      <c r="N66" s="961" t="s">
        <v>1053</v>
      </c>
      <c r="O66" s="961" t="s">
        <v>1052</v>
      </c>
      <c r="P66" s="974">
        <v>14</v>
      </c>
      <c r="Q66" s="959" t="s">
        <v>819</v>
      </c>
      <c r="S66" s="1186" t="s">
        <v>1051</v>
      </c>
      <c r="T66" s="1187"/>
      <c r="U66" s="1187"/>
      <c r="V66" s="1187"/>
      <c r="W66" s="1187"/>
      <c r="X66" s="1188"/>
      <c r="Z66" s="995" t="s">
        <v>1050</v>
      </c>
      <c r="AA66" s="995"/>
      <c r="AB66" s="1004"/>
      <c r="AC66" s="1004"/>
      <c r="AD66" s="1004"/>
      <c r="AE66" s="1004"/>
      <c r="AF66" s="1004"/>
      <c r="AG66" s="1004"/>
      <c r="AH66" s="1004"/>
      <c r="AI66" s="1004"/>
      <c r="AJ66" s="1004"/>
    </row>
    <row r="67" spans="1:36" ht="17.25" hidden="1" thickBot="1">
      <c r="A67" s="952" t="s">
        <v>1049</v>
      </c>
      <c r="B67" s="952" t="s">
        <v>1048</v>
      </c>
      <c r="C67" s="952">
        <v>0</v>
      </c>
      <c r="D67" s="975">
        <v>0</v>
      </c>
      <c r="E67" s="950" t="s">
        <v>1018</v>
      </c>
      <c r="G67" s="1011" t="s">
        <v>1047</v>
      </c>
      <c r="H67" s="447" t="s">
        <v>1046</v>
      </c>
      <c r="I67" s="952" t="s">
        <v>1045</v>
      </c>
      <c r="J67" s="951">
        <f>1250*D76*(100-D79)</f>
        <v>1225000000</v>
      </c>
      <c r="K67" s="956" t="s">
        <v>1044</v>
      </c>
      <c r="M67" s="962" t="s">
        <v>1043</v>
      </c>
      <c r="N67" s="961" t="s">
        <v>1042</v>
      </c>
      <c r="O67" s="961" t="s">
        <v>1041</v>
      </c>
      <c r="P67" s="974">
        <v>20</v>
      </c>
      <c r="Q67" s="959" t="s">
        <v>813</v>
      </c>
      <c r="S67" s="1169" t="s">
        <v>1040</v>
      </c>
      <c r="T67" s="1170"/>
      <c r="U67" s="1170"/>
      <c r="V67" s="1170"/>
      <c r="W67" s="1170"/>
      <c r="X67" s="1171"/>
      <c r="Z67" s="995"/>
      <c r="AA67" s="994" t="s">
        <v>1039</v>
      </c>
      <c r="AB67" s="1010" t="s">
        <v>1038</v>
      </c>
      <c r="AC67" s="1010" t="s">
        <v>1037</v>
      </c>
      <c r="AD67" s="1010" t="s">
        <v>1036</v>
      </c>
      <c r="AE67" s="1002" t="s">
        <v>1035</v>
      </c>
      <c r="AF67" s="1002" t="s">
        <v>1034</v>
      </c>
      <c r="AG67" s="1002" t="s">
        <v>1033</v>
      </c>
      <c r="AH67" s="1002" t="s">
        <v>1032</v>
      </c>
      <c r="AI67" s="1002" t="s">
        <v>1031</v>
      </c>
      <c r="AJ67" s="1002" t="s">
        <v>1030</v>
      </c>
    </row>
    <row r="68" spans="1:36" ht="33.75" hidden="1" thickBot="1">
      <c r="A68" s="952" t="s">
        <v>1029</v>
      </c>
      <c r="B68" s="952" t="s">
        <v>1028</v>
      </c>
      <c r="C68" s="952">
        <v>0</v>
      </c>
      <c r="D68" s="975">
        <v>0</v>
      </c>
      <c r="E68" s="950" t="s">
        <v>1018</v>
      </c>
      <c r="G68" s="1166" t="s">
        <v>219</v>
      </c>
      <c r="H68" s="1167"/>
      <c r="I68" s="1167"/>
      <c r="J68" s="1167"/>
      <c r="K68" s="1168"/>
      <c r="M68" s="962" t="s">
        <v>1027</v>
      </c>
      <c r="N68" s="961" t="s">
        <v>1026</v>
      </c>
      <c r="O68" s="961" t="s">
        <v>1015</v>
      </c>
      <c r="P68" s="974">
        <v>8</v>
      </c>
      <c r="Q68" s="959" t="s">
        <v>813</v>
      </c>
      <c r="S68" s="990" t="s">
        <v>1025</v>
      </c>
      <c r="T68" s="989" t="s">
        <v>939</v>
      </c>
      <c r="U68" s="989" t="s">
        <v>1024</v>
      </c>
      <c r="V68" s="989" t="s">
        <v>938</v>
      </c>
      <c r="W68" s="989" t="s">
        <v>1023</v>
      </c>
      <c r="X68" s="1009" t="s">
        <v>1022</v>
      </c>
      <c r="Z68" s="995"/>
      <c r="AA68" s="994" t="s">
        <v>1021</v>
      </c>
      <c r="AB68" s="1002">
        <f>P50/1000</f>
        <v>60</v>
      </c>
      <c r="AC68" s="994">
        <v>8</v>
      </c>
      <c r="AD68" s="994">
        <v>2592</v>
      </c>
      <c r="AE68" s="1008">
        <f>P53</f>
        <v>209</v>
      </c>
      <c r="AF68" s="994">
        <f>AE68*1000/AB68</f>
        <v>3483.3333333333335</v>
      </c>
      <c r="AG68" s="994"/>
      <c r="AH68" s="994"/>
      <c r="AI68" s="994"/>
      <c r="AJ68" s="994"/>
    </row>
    <row r="69" spans="1:36" ht="115.5" hidden="1">
      <c r="A69" s="952" t="s">
        <v>1020</v>
      </c>
      <c r="B69" s="952" t="s">
        <v>1019</v>
      </c>
      <c r="C69" s="952">
        <f>VLOOKUP($C$47,$S$49:$AL$64,9,FALSE)</f>
        <v>2592</v>
      </c>
      <c r="D69" s="975">
        <f>B4</f>
        <v>2592</v>
      </c>
      <c r="E69" s="950" t="s">
        <v>1018</v>
      </c>
      <c r="G69" s="1007" t="s">
        <v>224</v>
      </c>
      <c r="H69" s="923" t="s">
        <v>225</v>
      </c>
      <c r="I69" s="947" t="s">
        <v>226</v>
      </c>
      <c r="J69" s="1006">
        <f>IF(D76=10000,0,IF(D76=5000,1,IF(D76=2500,2,IF(D76=1000,3,3))))</f>
        <v>0</v>
      </c>
      <c r="K69" s="945" t="s">
        <v>163</v>
      </c>
      <c r="M69" s="962" t="s">
        <v>1017</v>
      </c>
      <c r="N69" s="961" t="s">
        <v>1016</v>
      </c>
      <c r="O69" s="961" t="s">
        <v>1015</v>
      </c>
      <c r="P69" s="974">
        <v>8</v>
      </c>
      <c r="Q69" s="959" t="s">
        <v>813</v>
      </c>
      <c r="S69" s="953" t="s">
        <v>1014</v>
      </c>
      <c r="T69" s="952" t="s">
        <v>1013</v>
      </c>
      <c r="U69" s="952" t="s">
        <v>1012</v>
      </c>
      <c r="V69" s="952" t="s">
        <v>1011</v>
      </c>
      <c r="W69" s="951" t="str">
        <f>"0x"&amp;DEC2HEX(IF(D57="Ultra Short",P50/1000,P53))</f>
        <v>0xD1</v>
      </c>
      <c r="X69" s="1189" t="s">
        <v>1010</v>
      </c>
      <c r="Z69" s="995"/>
      <c r="AA69" s="994" t="s">
        <v>1009</v>
      </c>
      <c r="AB69" s="1002">
        <f>AB68*22/8</f>
        <v>165</v>
      </c>
      <c r="AC69" s="994">
        <v>8</v>
      </c>
      <c r="AD69" s="994">
        <v>2592</v>
      </c>
      <c r="AE69" s="994">
        <f>AF69/(1000/AB69)</f>
        <v>574.75</v>
      </c>
      <c r="AF69" s="994">
        <f>AF68</f>
        <v>3483.3333333333335</v>
      </c>
      <c r="AG69" s="994">
        <f>AD69/AC69</f>
        <v>324</v>
      </c>
      <c r="AH69" s="994">
        <f>AG69*1000/AB69</f>
        <v>1963.6363636363637</v>
      </c>
      <c r="AI69" s="994">
        <f>AE69-AG69</f>
        <v>250.75</v>
      </c>
      <c r="AJ69" s="994">
        <f>AI69*1000/AB69</f>
        <v>1519.6969696969697</v>
      </c>
    </row>
    <row r="70" spans="1:36" ht="33.75" hidden="1" thickBot="1">
      <c r="A70" s="952" t="s">
        <v>1008</v>
      </c>
      <c r="B70" s="952" t="s">
        <v>1007</v>
      </c>
      <c r="C70" s="952">
        <f>VLOOKUP($C$47,$S$49:$AL$64,12,FALSE)</f>
        <v>2056</v>
      </c>
      <c r="D70" s="975">
        <f>B5</f>
        <v>2048</v>
      </c>
      <c r="E70" s="950" t="s">
        <v>1006</v>
      </c>
      <c r="G70" s="936" t="s">
        <v>231</v>
      </c>
      <c r="H70" s="924" t="s">
        <v>232</v>
      </c>
      <c r="I70" s="935" t="s">
        <v>233</v>
      </c>
      <c r="J70" s="934">
        <f>ROUNDUP(D78*VLOOKUP($C$47,$S$49:$AO$64,23,FALSE)/1000000,0)</f>
        <v>0</v>
      </c>
      <c r="K70" s="933" t="s">
        <v>154</v>
      </c>
      <c r="M70" s="962" t="s">
        <v>1005</v>
      </c>
      <c r="N70" s="961" t="s">
        <v>1004</v>
      </c>
      <c r="O70" s="961" t="s">
        <v>1003</v>
      </c>
      <c r="P70" s="974">
        <v>4</v>
      </c>
      <c r="Q70" s="959" t="s">
        <v>813</v>
      </c>
      <c r="S70" s="953" t="s">
        <v>1002</v>
      </c>
      <c r="T70" s="952" t="s">
        <v>1001</v>
      </c>
      <c r="U70" s="952" t="s">
        <v>1000</v>
      </c>
      <c r="V70" s="952" t="s">
        <v>999</v>
      </c>
      <c r="W70" s="951" t="str">
        <f>"0x"&amp;DEC2HEX(J60)</f>
        <v>0x0</v>
      </c>
      <c r="X70" s="1189"/>
      <c r="Z70" s="995"/>
      <c r="AA70" s="1002" t="s">
        <v>998</v>
      </c>
      <c r="AB70" s="1002">
        <v>156.25</v>
      </c>
      <c r="AC70" s="994">
        <v>8</v>
      </c>
      <c r="AD70" s="994">
        <v>2592</v>
      </c>
      <c r="AE70" s="994">
        <f>AF70/(1000/AB70)</f>
        <v>544.27083333333337</v>
      </c>
      <c r="AF70" s="994">
        <f>AF68</f>
        <v>3483.3333333333335</v>
      </c>
      <c r="AG70" s="994">
        <f>AD70/AC70</f>
        <v>324</v>
      </c>
      <c r="AH70" s="994">
        <f>AG70*1000/AB70</f>
        <v>2073.6</v>
      </c>
      <c r="AI70" s="994">
        <f>AE70-AG70</f>
        <v>220.27083333333337</v>
      </c>
      <c r="AJ70" s="994">
        <f>AI70*1000/AB70</f>
        <v>1409.7333333333336</v>
      </c>
    </row>
    <row r="71" spans="1:36" hidden="1">
      <c r="A71" s="1190" t="s">
        <v>997</v>
      </c>
      <c r="B71" s="1191"/>
      <c r="C71" s="1191"/>
      <c r="D71" s="1191"/>
      <c r="E71" s="1192"/>
      <c r="G71" s="1169" t="s">
        <v>996</v>
      </c>
      <c r="H71" s="1170"/>
      <c r="I71" s="1170"/>
      <c r="J71" s="1170"/>
      <c r="K71" s="1171"/>
      <c r="M71" s="962" t="s">
        <v>995</v>
      </c>
      <c r="N71" s="961" t="s">
        <v>994</v>
      </c>
      <c r="O71" s="961" t="s">
        <v>993</v>
      </c>
      <c r="P71" s="974">
        <v>12</v>
      </c>
      <c r="Q71" s="959" t="s">
        <v>813</v>
      </c>
      <c r="S71" s="953" t="s">
        <v>992</v>
      </c>
      <c r="T71" s="952" t="s">
        <v>991</v>
      </c>
      <c r="U71" s="952" t="s">
        <v>990</v>
      </c>
      <c r="V71" s="952" t="s">
        <v>989</v>
      </c>
      <c r="W71" s="951" t="str">
        <f>"0x"&amp;DEC2HEX(J59)</f>
        <v>0xB33</v>
      </c>
      <c r="X71" s="1189"/>
      <c r="Z71" s="995"/>
      <c r="AA71" s="1002"/>
      <c r="AB71" s="1002"/>
      <c r="AC71" s="994"/>
      <c r="AD71" s="994"/>
      <c r="AE71" s="994"/>
      <c r="AF71" s="994"/>
      <c r="AG71" s="994"/>
      <c r="AH71" s="994"/>
      <c r="AI71" s="994"/>
      <c r="AJ71" s="994"/>
    </row>
    <row r="72" spans="1:36" ht="66.75" hidden="1" thickBot="1">
      <c r="A72" s="952" t="s">
        <v>988</v>
      </c>
      <c r="B72" s="952" t="s">
        <v>987</v>
      </c>
      <c r="C72" s="1005">
        <v>0</v>
      </c>
      <c r="D72" s="975">
        <v>0</v>
      </c>
      <c r="E72" s="950" t="s">
        <v>986</v>
      </c>
      <c r="G72" s="940" t="s">
        <v>985</v>
      </c>
      <c r="H72" s="925" t="s">
        <v>984</v>
      </c>
      <c r="I72" s="939" t="s">
        <v>983</v>
      </c>
      <c r="J72" s="954">
        <f>IF(ROUNDUP(P97*1000*8/D76,0)&gt;200000000,200000000,ROUNDUP(P97*1000*8/D76,0))</f>
        <v>2699992</v>
      </c>
      <c r="K72" s="937" t="s">
        <v>920</v>
      </c>
      <c r="M72" s="962" t="s">
        <v>982</v>
      </c>
      <c r="N72" s="952" t="s">
        <v>981</v>
      </c>
      <c r="O72" s="961" t="s">
        <v>980</v>
      </c>
      <c r="P72" s="974">
        <f>P67+P68+P69</f>
        <v>36</v>
      </c>
      <c r="Q72" s="959" t="s">
        <v>819</v>
      </c>
      <c r="S72" s="973" t="s">
        <v>979</v>
      </c>
      <c r="T72" s="952" t="s">
        <v>978</v>
      </c>
      <c r="U72" s="952" t="s">
        <v>977</v>
      </c>
      <c r="V72" s="952" t="s">
        <v>976</v>
      </c>
      <c r="W72" s="951">
        <f>IF(D55="TriggerWidth",1,0)</f>
        <v>0</v>
      </c>
      <c r="X72" s="1189"/>
      <c r="Z72" s="995"/>
      <c r="AA72" s="995" t="s">
        <v>975</v>
      </c>
      <c r="AB72" s="995" t="s">
        <v>974</v>
      </c>
      <c r="AC72" s="1004"/>
      <c r="AD72" s="1004"/>
      <c r="AE72" s="994"/>
      <c r="AF72" s="994"/>
      <c r="AG72" s="1002"/>
      <c r="AH72" s="994"/>
      <c r="AI72" s="994"/>
      <c r="AJ72" s="994"/>
    </row>
    <row r="73" spans="1:36" ht="33.75" hidden="1" thickBot="1">
      <c r="A73" s="1166" t="s">
        <v>242</v>
      </c>
      <c r="B73" s="1167"/>
      <c r="C73" s="1167"/>
      <c r="D73" s="1167"/>
      <c r="E73" s="1168"/>
      <c r="G73" s="1169" t="s">
        <v>973</v>
      </c>
      <c r="H73" s="1170"/>
      <c r="I73" s="1170"/>
      <c r="J73" s="1170"/>
      <c r="K73" s="1171"/>
      <c r="M73" s="962" t="s">
        <v>972</v>
      </c>
      <c r="N73" s="952" t="s">
        <v>971</v>
      </c>
      <c r="O73" s="961" t="s">
        <v>970</v>
      </c>
      <c r="P73" s="974">
        <f>P64+P65+P66+P70</f>
        <v>26</v>
      </c>
      <c r="Q73" s="959" t="s">
        <v>956</v>
      </c>
      <c r="S73" s="973" t="s">
        <v>969</v>
      </c>
      <c r="T73" s="952" t="s">
        <v>968</v>
      </c>
      <c r="U73" s="952" t="s">
        <v>967</v>
      </c>
      <c r="V73" s="952" t="s">
        <v>966</v>
      </c>
      <c r="W73" s="951" t="str">
        <f>"0x"&amp;DEC2HEX(J76)</f>
        <v>0x816</v>
      </c>
      <c r="X73" s="1189"/>
      <c r="Z73" s="995"/>
      <c r="AA73" s="1003">
        <f>P80</f>
        <v>5308416</v>
      </c>
      <c r="AB73" s="1002">
        <f>8*1000*(P80/D70)/AF70</f>
        <v>5952.9186602870814</v>
      </c>
      <c r="AC73" s="1002"/>
      <c r="AD73" s="1002"/>
      <c r="AE73" s="994"/>
      <c r="AF73" s="1002"/>
      <c r="AG73" s="1002"/>
      <c r="AH73" s="1002"/>
      <c r="AI73" s="994"/>
      <c r="AJ73" s="994"/>
    </row>
    <row r="74" spans="1:36" ht="50.25" hidden="1" thickBot="1">
      <c r="A74" s="1001" t="s">
        <v>965</v>
      </c>
      <c r="B74" s="1000" t="s">
        <v>964</v>
      </c>
      <c r="C74" s="999">
        <v>0</v>
      </c>
      <c r="D74" s="998">
        <v>0</v>
      </c>
      <c r="E74" s="997" t="s">
        <v>122</v>
      </c>
      <c r="G74" s="936" t="s">
        <v>963</v>
      </c>
      <c r="H74" s="924" t="s">
        <v>962</v>
      </c>
      <c r="I74" s="935" t="s">
        <v>961</v>
      </c>
      <c r="J74" s="996">
        <f>IF((100-ROUNDDOWN(10*P90/(125000*D76),0)-1)&lt;0,0,(100-ROUNDDOWN(10*P90/(125000*D76),0)-1))</f>
        <v>99</v>
      </c>
      <c r="K74" s="933" t="s">
        <v>960</v>
      </c>
      <c r="M74" s="962" t="s">
        <v>959</v>
      </c>
      <c r="N74" s="961" t="s">
        <v>958</v>
      </c>
      <c r="O74" s="961" t="s">
        <v>957</v>
      </c>
      <c r="P74" s="974">
        <f>64-P66-P70-P72</f>
        <v>10</v>
      </c>
      <c r="Q74" s="959" t="s">
        <v>956</v>
      </c>
      <c r="S74" s="973" t="s">
        <v>955</v>
      </c>
      <c r="T74" s="952" t="s">
        <v>954</v>
      </c>
      <c r="U74" s="952" t="s">
        <v>953</v>
      </c>
      <c r="V74" s="952" t="s">
        <v>933</v>
      </c>
      <c r="W74" s="951" t="str">
        <f>"0x"&amp;DEC2HEX(MAX(J54,J55,J56,J57))</f>
        <v>0xB78</v>
      </c>
      <c r="X74" s="1189"/>
      <c r="Z74" s="995"/>
      <c r="AA74" s="994"/>
      <c r="AB74" s="994"/>
      <c r="AC74" s="994"/>
      <c r="AD74" s="994"/>
      <c r="AE74" s="994"/>
      <c r="AF74" s="994"/>
      <c r="AG74" s="994"/>
      <c r="AH74" s="994"/>
      <c r="AI74" s="994"/>
      <c r="AJ74" s="994"/>
    </row>
    <row r="75" spans="1:36" ht="17.25" hidden="1" thickBot="1">
      <c r="A75" s="1166" t="s">
        <v>256</v>
      </c>
      <c r="B75" s="1167"/>
      <c r="C75" s="1167"/>
      <c r="D75" s="1167"/>
      <c r="E75" s="1168"/>
      <c r="G75" s="1169" t="s">
        <v>952</v>
      </c>
      <c r="H75" s="1170"/>
      <c r="I75" s="1170"/>
      <c r="J75" s="1170"/>
      <c r="K75" s="1171"/>
      <c r="M75" s="1169" t="s">
        <v>951</v>
      </c>
      <c r="N75" s="1170"/>
      <c r="O75" s="1170"/>
      <c r="P75" s="1170"/>
      <c r="Q75" s="1171"/>
      <c r="S75" s="973" t="s">
        <v>950</v>
      </c>
      <c r="T75" s="952" t="s">
        <v>949</v>
      </c>
      <c r="U75" s="952" t="s">
        <v>948</v>
      </c>
      <c r="V75" s="952" t="s">
        <v>947</v>
      </c>
      <c r="W75" s="951" t="str">
        <f>"0x"&amp;IF(D63="HighSpeed",IF(D55="TriggerWidth",DEC2HEX(MAX(J54,IF(D74=1,0,J56))),DEC2HEX(MAX(J54,J55,IF(D74=1,0,J56)))),IF(D55="TriggerWidth",DEC2HEX(MAX(J54,IF(D74=1,0,J56),P94)),DEC2HEX(MAX(J54,J55,IF(D74=1,0,J56),P94))))</f>
        <v>0xB78</v>
      </c>
      <c r="X75" s="1189"/>
    </row>
    <row r="76" spans="1:36" ht="33" hidden="1">
      <c r="A76" s="948" t="s">
        <v>946</v>
      </c>
      <c r="B76" s="947" t="s">
        <v>268</v>
      </c>
      <c r="C76" s="993" t="s">
        <v>122</v>
      </c>
      <c r="D76" s="992">
        <f>B15</f>
        <v>10000</v>
      </c>
      <c r="E76" s="991" t="s">
        <v>945</v>
      </c>
      <c r="G76" s="961" t="s">
        <v>944</v>
      </c>
      <c r="H76" s="961" t="s">
        <v>943</v>
      </c>
      <c r="I76" s="961" t="s">
        <v>942</v>
      </c>
      <c r="J76" s="974">
        <f>MAX(INT(1000*D56/J50),1)</f>
        <v>2070</v>
      </c>
      <c r="K76" s="961" t="s">
        <v>941</v>
      </c>
      <c r="M76" s="990" t="s">
        <v>940</v>
      </c>
      <c r="N76" s="989" t="s">
        <v>939</v>
      </c>
      <c r="O76" s="989" t="s">
        <v>938</v>
      </c>
      <c r="P76" s="989" t="s">
        <v>937</v>
      </c>
      <c r="Q76" s="988" t="s">
        <v>936</v>
      </c>
      <c r="S76" s="973" t="s">
        <v>755</v>
      </c>
      <c r="T76" s="952" t="s">
        <v>935</v>
      </c>
      <c r="U76" s="952" t="s">
        <v>934</v>
      </c>
      <c r="V76" s="952" t="s">
        <v>933</v>
      </c>
      <c r="W76" s="951" t="str">
        <f>"0x"&amp;DEC2HEX(MAX(J54,J55))</f>
        <v>0xB78</v>
      </c>
      <c r="X76" s="1189"/>
    </row>
    <row r="77" spans="1:36" ht="66" hidden="1">
      <c r="A77" s="955" t="s">
        <v>932</v>
      </c>
      <c r="B77" s="939" t="s">
        <v>34</v>
      </c>
      <c r="C77" s="987">
        <v>1500</v>
      </c>
      <c r="D77" s="986">
        <f>B22</f>
        <v>1500</v>
      </c>
      <c r="E77" s="985" t="s">
        <v>201</v>
      </c>
      <c r="G77" s="961" t="s">
        <v>931</v>
      </c>
      <c r="H77" s="961" t="s">
        <v>278</v>
      </c>
      <c r="I77" s="961" t="s">
        <v>930</v>
      </c>
      <c r="J77" s="974" t="str">
        <f>IF((D62=1)*(D55="TriggerWidth"),J54+IF(ROUNDUP((1000*D60/J50),0)&gt;J76,ROUNDUP((1000*D60/J50),0)-J76,0),"null")</f>
        <v>null</v>
      </c>
      <c r="K77" s="961" t="s">
        <v>929</v>
      </c>
      <c r="M77" s="962" t="s">
        <v>928</v>
      </c>
      <c r="N77" s="952" t="s">
        <v>927</v>
      </c>
      <c r="O77" s="961" t="s">
        <v>926</v>
      </c>
      <c r="P77" s="974">
        <f>36</f>
        <v>36</v>
      </c>
      <c r="Q77" s="959" t="s">
        <v>819</v>
      </c>
      <c r="S77" s="973" t="s">
        <v>925</v>
      </c>
      <c r="T77" s="952" t="s">
        <v>924</v>
      </c>
      <c r="U77" s="952" t="s">
        <v>923</v>
      </c>
      <c r="V77" s="952" t="s">
        <v>922</v>
      </c>
      <c r="W77" s="951" t="s">
        <v>921</v>
      </c>
      <c r="X77" s="1189"/>
    </row>
    <row r="78" spans="1:36" ht="66" hidden="1">
      <c r="A78" s="955" t="str">
        <f>"流通道包间隔 
范围:0"&amp;"-"&amp;J72</f>
        <v>流通道包间隔 
范围:0-2699992</v>
      </c>
      <c r="B78" s="939" t="s">
        <v>32</v>
      </c>
      <c r="C78" s="987">
        <v>0</v>
      </c>
      <c r="D78" s="986">
        <f>B20</f>
        <v>0</v>
      </c>
      <c r="E78" s="985" t="s">
        <v>920</v>
      </c>
      <c r="G78" s="961" t="s">
        <v>919</v>
      </c>
      <c r="H78" s="961" t="s">
        <v>918</v>
      </c>
      <c r="I78" s="961" t="s">
        <v>917</v>
      </c>
      <c r="J78" s="974" t="str">
        <f>IF((D62=1)*(D55="TriggerWidth"),IF(D60&gt;D56,(ROUNDUP((1000*D60/J50),0)*J50+P56)/1000,(ROUNDUP((1000*D56/J50),0)*J50+P56)/1000),"null")</f>
        <v>null</v>
      </c>
      <c r="K78" s="961" t="s">
        <v>916</v>
      </c>
      <c r="M78" s="962" t="s">
        <v>915</v>
      </c>
      <c r="N78" s="952" t="s">
        <v>914</v>
      </c>
      <c r="O78" s="961" t="s">
        <v>913</v>
      </c>
      <c r="P78" s="974">
        <v>10</v>
      </c>
      <c r="Q78" s="959" t="s">
        <v>819</v>
      </c>
      <c r="S78" s="973" t="s">
        <v>912</v>
      </c>
      <c r="T78" s="952" t="s">
        <v>911</v>
      </c>
      <c r="U78" s="952" t="s">
        <v>910</v>
      </c>
      <c r="V78" s="952" t="s">
        <v>902</v>
      </c>
      <c r="W78" s="951" t="str">
        <f>"0x"&amp;(IF(D57="Ultra Short",0,1))</f>
        <v>0x1</v>
      </c>
      <c r="X78" s="972" t="s">
        <v>909</v>
      </c>
    </row>
    <row r="79" spans="1:36" ht="148.5" hidden="1">
      <c r="A79" s="984" t="str">
        <f>"预留带宽 
范围:0-"&amp;J74</f>
        <v>预留带宽 
范围:0-99</v>
      </c>
      <c r="B79" s="977" t="s">
        <v>30</v>
      </c>
      <c r="C79" s="983">
        <v>2</v>
      </c>
      <c r="D79" s="982">
        <f>B18</f>
        <v>2</v>
      </c>
      <c r="E79" s="981" t="s">
        <v>259</v>
      </c>
      <c r="M79" s="953" t="s">
        <v>908</v>
      </c>
      <c r="N79" s="952" t="s">
        <v>907</v>
      </c>
      <c r="O79" s="952" t="s">
        <v>906</v>
      </c>
      <c r="P79" s="951">
        <v>48</v>
      </c>
      <c r="Q79" s="956" t="s">
        <v>819</v>
      </c>
      <c r="S79" s="973" t="s">
        <v>905</v>
      </c>
      <c r="T79" s="952" t="s">
        <v>904</v>
      </c>
      <c r="U79" s="952" t="s">
        <v>903</v>
      </c>
      <c r="V79" s="952" t="s">
        <v>902</v>
      </c>
      <c r="W79" s="951" t="str">
        <f>"0x"&amp;(IF(D57="Ultra Short",0,1))</f>
        <v>0x1</v>
      </c>
      <c r="X79" s="972" t="s">
        <v>901</v>
      </c>
    </row>
    <row r="80" spans="1:36" ht="49.5" hidden="1">
      <c r="A80" s="1170" t="s">
        <v>900</v>
      </c>
      <c r="B80" s="1170"/>
      <c r="C80" s="1170"/>
      <c r="D80" s="1170"/>
      <c r="E80" s="1171"/>
      <c r="M80" s="953" t="s">
        <v>899</v>
      </c>
      <c r="N80" s="952" t="s">
        <v>898</v>
      </c>
      <c r="O80" s="952" t="s">
        <v>897</v>
      </c>
      <c r="P80" s="951">
        <f>ROUNDDOWN(D69*D70*IF(D51=8,1,IF(OR(D51="10p",D51="12p"),1.5,2)),0)</f>
        <v>5308416</v>
      </c>
      <c r="Q80" s="956" t="s">
        <v>842</v>
      </c>
      <c r="S80" s="973" t="s">
        <v>896</v>
      </c>
      <c r="T80" s="952" t="s">
        <v>895</v>
      </c>
      <c r="U80" s="952" t="s">
        <v>894</v>
      </c>
      <c r="V80" s="952" t="s">
        <v>893</v>
      </c>
      <c r="W80" s="951" t="str">
        <f>"0x"&amp;DEC2HEX(J54)</f>
        <v>0x854</v>
      </c>
      <c r="X80" s="972" t="s">
        <v>892</v>
      </c>
    </row>
    <row r="81" spans="1:24" ht="33" hidden="1">
      <c r="A81" s="952" t="s">
        <v>891</v>
      </c>
      <c r="B81" s="952" t="s">
        <v>890</v>
      </c>
      <c r="C81" s="952">
        <v>0</v>
      </c>
      <c r="D81" s="975">
        <f>B16</f>
        <v>0</v>
      </c>
      <c r="E81" s="950" t="s">
        <v>889</v>
      </c>
      <c r="M81" s="953" t="s">
        <v>888</v>
      </c>
      <c r="N81" s="952" t="s">
        <v>887</v>
      </c>
      <c r="O81" s="952" t="s">
        <v>886</v>
      </c>
      <c r="P81" s="951">
        <f>P80+P79*D72</f>
        <v>5308416</v>
      </c>
      <c r="Q81" s="956" t="s">
        <v>842</v>
      </c>
      <c r="S81" s="973" t="s">
        <v>885</v>
      </c>
      <c r="T81" s="952" t="s">
        <v>884</v>
      </c>
      <c r="U81" s="952" t="s">
        <v>883</v>
      </c>
      <c r="V81" s="952" t="s">
        <v>882</v>
      </c>
      <c r="W81" s="951" t="str">
        <f>"0x"&amp;DEC2HEX(D77-P72)</f>
        <v>0x5B8</v>
      </c>
      <c r="X81" s="972" t="s">
        <v>881</v>
      </c>
    </row>
    <row r="82" spans="1:24" ht="33" hidden="1">
      <c r="A82" s="952" t="s">
        <v>880</v>
      </c>
      <c r="B82" s="952" t="s">
        <v>879</v>
      </c>
      <c r="C82" s="952">
        <f>VLOOKUP($C$47,$S$49:$AL$64,19,FALSE)</f>
        <v>132</v>
      </c>
      <c r="D82" s="975">
        <f>B17</f>
        <v>132</v>
      </c>
      <c r="E82" s="950" t="s">
        <v>878</v>
      </c>
      <c r="M82" s="962" t="s">
        <v>877</v>
      </c>
      <c r="N82" s="952" t="s">
        <v>876</v>
      </c>
      <c r="O82" s="961" t="s">
        <v>875</v>
      </c>
      <c r="P82" s="960">
        <f>INT(P81/(D77-P72))</f>
        <v>3625</v>
      </c>
      <c r="Q82" s="959" t="s">
        <v>874</v>
      </c>
      <c r="S82" s="980" t="s">
        <v>342</v>
      </c>
      <c r="T82" s="939" t="s">
        <v>343</v>
      </c>
      <c r="U82" s="939" t="s">
        <v>873</v>
      </c>
      <c r="V82" s="939" t="s">
        <v>345</v>
      </c>
      <c r="W82" s="979" t="str">
        <f>"0x"&amp;DEC2HEX(J70)</f>
        <v>0x0</v>
      </c>
      <c r="X82" s="1182" t="s">
        <v>346</v>
      </c>
    </row>
    <row r="83" spans="1:24" ht="33" hidden="1">
      <c r="A83" s="1184" t="s">
        <v>872</v>
      </c>
      <c r="B83" s="1184"/>
      <c r="C83" s="1184"/>
      <c r="D83" s="1184"/>
      <c r="E83" s="1185"/>
      <c r="M83" s="962" t="s">
        <v>871</v>
      </c>
      <c r="N83" s="952" t="s">
        <v>870</v>
      </c>
      <c r="O83" s="961" t="s">
        <v>869</v>
      </c>
      <c r="P83" s="960">
        <f>P81-(D77-P72)*P82</f>
        <v>1416</v>
      </c>
      <c r="Q83" s="959" t="s">
        <v>819</v>
      </c>
      <c r="S83" s="978" t="s">
        <v>352</v>
      </c>
      <c r="T83" s="977" t="s">
        <v>353</v>
      </c>
      <c r="U83" s="939" t="s">
        <v>868</v>
      </c>
      <c r="V83" s="977" t="s">
        <v>355</v>
      </c>
      <c r="W83" s="976" t="str">
        <f>"0x"&amp;DEC2HEX(J69)</f>
        <v>0x0</v>
      </c>
      <c r="X83" s="1183"/>
    </row>
    <row r="84" spans="1:24" ht="49.5" hidden="1">
      <c r="A84" s="952" t="s">
        <v>867</v>
      </c>
      <c r="B84" s="952" t="s">
        <v>866</v>
      </c>
      <c r="C84" s="952">
        <v>1</v>
      </c>
      <c r="D84" s="975">
        <f>B6</f>
        <v>1</v>
      </c>
      <c r="E84" s="950" t="s">
        <v>827</v>
      </c>
      <c r="M84" s="962" t="s">
        <v>865</v>
      </c>
      <c r="N84" s="952" t="s">
        <v>864</v>
      </c>
      <c r="O84" s="961" t="s">
        <v>863</v>
      </c>
      <c r="P84" s="974">
        <f>IF(MOD(P80,(D77-P72))=0,0,1)</f>
        <v>1</v>
      </c>
      <c r="Q84" s="959" t="s">
        <v>862</v>
      </c>
      <c r="S84" s="973" t="s">
        <v>861</v>
      </c>
      <c r="T84" s="952" t="s">
        <v>860</v>
      </c>
      <c r="U84" s="952" t="s">
        <v>859</v>
      </c>
      <c r="V84" s="952" t="s">
        <v>858</v>
      </c>
      <c r="W84" s="951" t="str">
        <f>"0x"&amp;DEC2HEX(ROUNDUP((J50-P59/P60*1000000/P61)/(1000000/P61),0))</f>
        <v>0x70</v>
      </c>
      <c r="X84" s="972" t="s">
        <v>857</v>
      </c>
    </row>
    <row r="85" spans="1:24" ht="50.25" hidden="1" thickBot="1">
      <c r="A85" s="943" t="s">
        <v>856</v>
      </c>
      <c r="B85" s="943" t="s">
        <v>855</v>
      </c>
      <c r="C85" s="943">
        <v>1</v>
      </c>
      <c r="D85" s="971">
        <f>B7</f>
        <v>1</v>
      </c>
      <c r="E85" s="941" t="s">
        <v>827</v>
      </c>
      <c r="M85" s="962" t="s">
        <v>854</v>
      </c>
      <c r="N85" s="952" t="s">
        <v>853</v>
      </c>
      <c r="O85" s="961" t="s">
        <v>852</v>
      </c>
      <c r="P85" s="960">
        <f>IF(P83&lt;P74,P74,P83)</f>
        <v>1416</v>
      </c>
      <c r="Q85" s="959" t="s">
        <v>819</v>
      </c>
      <c r="S85" s="970" t="s">
        <v>851</v>
      </c>
      <c r="T85" s="943" t="s">
        <v>850</v>
      </c>
      <c r="U85" s="943" t="s">
        <v>849</v>
      </c>
      <c r="V85" s="943" t="s">
        <v>848</v>
      </c>
      <c r="W85" s="942" t="str">
        <f>"0x"&amp;DEC2HEX(P59)</f>
        <v>0xA20</v>
      </c>
      <c r="X85" s="969" t="s">
        <v>847</v>
      </c>
    </row>
    <row r="86" spans="1:24" ht="83.25" hidden="1" thickBot="1">
      <c r="A86" s="1172" t="s">
        <v>846</v>
      </c>
      <c r="B86" s="1173"/>
      <c r="C86" s="1173"/>
      <c r="D86" s="1173"/>
      <c r="E86" s="1174"/>
      <c r="M86" s="962" t="s">
        <v>845</v>
      </c>
      <c r="N86" s="952" t="s">
        <v>844</v>
      </c>
      <c r="O86" s="961" t="s">
        <v>843</v>
      </c>
      <c r="P86" s="960">
        <f>P73+P72+P77</f>
        <v>98</v>
      </c>
      <c r="Q86" s="959" t="s">
        <v>842</v>
      </c>
      <c r="S86" s="970" t="s">
        <v>841</v>
      </c>
      <c r="T86" s="943" t="s">
        <v>840</v>
      </c>
      <c r="U86" s="943" t="s">
        <v>839</v>
      </c>
      <c r="V86" s="943" t="s">
        <v>838</v>
      </c>
      <c r="W86" s="942" t="str">
        <f>"0x"&amp;DEC2HEX(IF(D63="Standard",0,1))</f>
        <v>0x0</v>
      </c>
      <c r="X86" s="969" t="s">
        <v>837</v>
      </c>
    </row>
    <row r="87" spans="1:24" hidden="1">
      <c r="A87" s="962" t="s">
        <v>836</v>
      </c>
      <c r="B87" s="961" t="s">
        <v>835</v>
      </c>
      <c r="C87" s="961">
        <v>1</v>
      </c>
      <c r="D87" s="968">
        <f>B8</f>
        <v>1</v>
      </c>
      <c r="E87" s="967" t="s">
        <v>834</v>
      </c>
      <c r="F87" s="1175" t="s">
        <v>833</v>
      </c>
      <c r="M87" s="962" t="s">
        <v>832</v>
      </c>
      <c r="N87" s="952" t="s">
        <v>831</v>
      </c>
      <c r="O87" s="961" t="s">
        <v>830</v>
      </c>
      <c r="P87" s="960">
        <f>P73+P72+P78</f>
        <v>72</v>
      </c>
      <c r="Q87" s="959" t="s">
        <v>819</v>
      </c>
      <c r="S87" s="949"/>
    </row>
    <row r="88" spans="1:24" ht="50.25" hidden="1" thickBot="1">
      <c r="A88" s="966" t="s">
        <v>829</v>
      </c>
      <c r="B88" s="965" t="s">
        <v>828</v>
      </c>
      <c r="C88" s="965">
        <v>1</v>
      </c>
      <c r="D88" s="964">
        <f>B8</f>
        <v>1</v>
      </c>
      <c r="E88" s="963" t="s">
        <v>827</v>
      </c>
      <c r="F88" s="1175"/>
      <c r="M88" s="962" t="s">
        <v>826</v>
      </c>
      <c r="N88" s="952" t="s">
        <v>825</v>
      </c>
      <c r="O88" s="961" t="s">
        <v>824</v>
      </c>
      <c r="P88" s="960">
        <f>P82*(D77+P73)+P84*(P85+P73+P72)</f>
        <v>5533228</v>
      </c>
      <c r="Q88" s="959" t="s">
        <v>819</v>
      </c>
      <c r="S88" s="949"/>
    </row>
    <row r="89" spans="1:24" ht="49.5" hidden="1">
      <c r="A89" s="1199" t="s">
        <v>823</v>
      </c>
      <c r="B89" s="1200"/>
      <c r="C89" s="1200"/>
      <c r="D89" s="1200"/>
      <c r="E89" s="1201"/>
      <c r="M89" s="955" t="s">
        <v>822</v>
      </c>
      <c r="N89" s="939" t="s">
        <v>821</v>
      </c>
      <c r="O89" s="939" t="s">
        <v>820</v>
      </c>
      <c r="P89" s="958">
        <f>(2+P84+P82)*P96</f>
        <v>72560</v>
      </c>
      <c r="Q89" s="937" t="s">
        <v>819</v>
      </c>
      <c r="S89" s="949"/>
    </row>
    <row r="90" spans="1:24" ht="33.75" hidden="1" thickBot="1">
      <c r="A90" s="957" t="s">
        <v>818</v>
      </c>
      <c r="B90" s="1196" t="s">
        <v>817</v>
      </c>
      <c r="C90" s="1196"/>
      <c r="D90" s="1197">
        <f>J52</f>
        <v>97.75171065493646</v>
      </c>
      <c r="E90" s="1198"/>
      <c r="M90" s="953" t="s">
        <v>816</v>
      </c>
      <c r="N90" s="952" t="s">
        <v>815</v>
      </c>
      <c r="O90" s="952" t="s">
        <v>814</v>
      </c>
      <c r="P90" s="951">
        <f>P86+P87+P88+P89</f>
        <v>5605958</v>
      </c>
      <c r="Q90" s="956" t="s">
        <v>813</v>
      </c>
      <c r="S90" s="949"/>
    </row>
    <row r="91" spans="1:24" ht="33" hidden="1">
      <c r="D91" s="932"/>
      <c r="E91" s="932"/>
      <c r="M91" s="955" t="s">
        <v>812</v>
      </c>
      <c r="N91" s="939" t="s">
        <v>811</v>
      </c>
      <c r="O91" s="939" t="s">
        <v>786</v>
      </c>
      <c r="P91" s="954">
        <f>INT(1000000*D76*(100-D79)/80)</f>
        <v>12250000000</v>
      </c>
      <c r="Q91" s="937" t="s">
        <v>805</v>
      </c>
      <c r="S91" s="949"/>
    </row>
    <row r="92" spans="1:24" ht="66" hidden="1">
      <c r="D92" s="932"/>
      <c r="E92" s="932"/>
      <c r="M92" s="953" t="s">
        <v>810</v>
      </c>
      <c r="N92" s="952" t="s">
        <v>809</v>
      </c>
      <c r="O92" s="952" t="s">
        <v>802</v>
      </c>
      <c r="P92" s="951">
        <f>IF(D57="Ultra Short",ROUNDUP(P90*1000000/P91,0)*10,ROUNDUP(ROUNDUP(P90*1000000000/P91,0)*10/J50,0))</f>
        <v>1314</v>
      </c>
      <c r="Q92" s="950" t="str">
        <f>IF(D57="Ultra Short","us","line")</f>
        <v>line</v>
      </c>
      <c r="S92" s="949"/>
    </row>
    <row r="93" spans="1:24" ht="33" hidden="1">
      <c r="A93" s="932"/>
      <c r="B93" s="932"/>
      <c r="C93" s="932"/>
      <c r="D93" s="932"/>
      <c r="E93" s="932"/>
      <c r="M93" s="948" t="s">
        <v>808</v>
      </c>
      <c r="N93" s="947" t="s">
        <v>807</v>
      </c>
      <c r="O93" s="947" t="s">
        <v>806</v>
      </c>
      <c r="P93" s="946">
        <f>INT(1000000*D76*(100)/80)</f>
        <v>12500000000</v>
      </c>
      <c r="Q93" s="945" t="s">
        <v>805</v>
      </c>
    </row>
    <row r="94" spans="1:24" ht="66.75" hidden="1" thickBot="1">
      <c r="A94" s="932"/>
      <c r="B94" s="932"/>
      <c r="C94" s="932"/>
      <c r="D94" s="932"/>
      <c r="E94" s="932"/>
      <c r="M94" s="944" t="s">
        <v>804</v>
      </c>
      <c r="N94" s="943" t="s">
        <v>803</v>
      </c>
      <c r="O94" s="943" t="s">
        <v>802</v>
      </c>
      <c r="P94" s="942">
        <f>IF(D57="Ultra Short",ROUNDUP(P90*1000000/P93,0)*10,ROUNDUP(ROUNDUP(P90*1000000000/P93,0)*10/J50,0))</f>
        <v>1288</v>
      </c>
      <c r="Q94" s="941" t="str">
        <f>IF(D49="Ultra Short","us","line")</f>
        <v>line</v>
      </c>
    </row>
    <row r="95" spans="1:24" ht="17.25" hidden="1" thickBot="1">
      <c r="M95" s="1166" t="s">
        <v>390</v>
      </c>
      <c r="N95" s="1167"/>
      <c r="O95" s="1167"/>
      <c r="P95" s="1167"/>
      <c r="Q95" s="1168"/>
    </row>
    <row r="96" spans="1:24" ht="33" hidden="1">
      <c r="M96" s="940" t="s">
        <v>391</v>
      </c>
      <c r="N96" s="925" t="s">
        <v>392</v>
      </c>
      <c r="O96" s="939" t="s">
        <v>393</v>
      </c>
      <c r="P96" s="938">
        <f>MAX(ROUNDUP(D78*D76/1000/8,0),P71+8)</f>
        <v>20</v>
      </c>
      <c r="Q96" s="937" t="s">
        <v>394</v>
      </c>
    </row>
    <row r="97" spans="13:17" ht="66.75" hidden="1" thickBot="1">
      <c r="M97" s="936" t="s">
        <v>395</v>
      </c>
      <c r="N97" s="924" t="s">
        <v>396</v>
      </c>
      <c r="O97" s="935" t="s">
        <v>397</v>
      </c>
      <c r="P97" s="934">
        <f>ROUNDDOWN((P91-(P86+P87+P88))/(P82+P84+2),0)</f>
        <v>3374990</v>
      </c>
      <c r="Q97" s="933" t="s">
        <v>394</v>
      </c>
    </row>
    <row r="98" spans="13:17" hidden="1">
      <c r="M98" s="932"/>
      <c r="N98" s="932"/>
      <c r="O98" s="932"/>
      <c r="P98" s="932"/>
      <c r="Q98" s="932"/>
    </row>
    <row r="99" spans="13:17" hidden="1">
      <c r="M99" s="932"/>
      <c r="N99" s="932"/>
      <c r="O99" s="932"/>
      <c r="P99" s="932"/>
      <c r="Q99" s="932"/>
    </row>
    <row r="100" spans="13:17" ht="14.25" hidden="1" customHeight="1">
      <c r="M100" s="932"/>
      <c r="N100" s="932"/>
      <c r="O100" s="932"/>
      <c r="P100" s="932"/>
      <c r="Q100" s="932"/>
    </row>
    <row r="101" spans="13:17">
      <c r="M101" s="932"/>
      <c r="N101" s="932"/>
      <c r="O101" s="932"/>
      <c r="P101" s="932"/>
      <c r="Q101" s="932"/>
    </row>
    <row r="102" spans="13:17">
      <c r="M102" s="932"/>
      <c r="N102" s="932"/>
      <c r="O102" s="932"/>
      <c r="P102" s="932"/>
      <c r="Q102" s="932"/>
    </row>
    <row r="103" spans="13:17">
      <c r="M103" s="932"/>
      <c r="N103" s="932"/>
      <c r="O103" s="932"/>
      <c r="P103" s="932"/>
      <c r="Q103" s="932"/>
    </row>
    <row r="104" spans="13:17">
      <c r="M104" s="932"/>
      <c r="N104" s="932"/>
      <c r="O104" s="932"/>
      <c r="P104" s="932"/>
      <c r="Q104" s="932"/>
    </row>
    <row r="105" spans="13:17">
      <c r="M105" s="932"/>
      <c r="N105" s="932"/>
      <c r="O105" s="932"/>
      <c r="P105" s="932"/>
      <c r="Q105" s="932"/>
    </row>
    <row r="106" spans="13:17">
      <c r="M106" s="932"/>
      <c r="N106" s="932"/>
      <c r="O106" s="932"/>
      <c r="P106" s="932"/>
      <c r="Q106" s="932"/>
    </row>
    <row r="107" spans="13:17">
      <c r="M107" s="932"/>
      <c r="N107" s="932"/>
      <c r="O107" s="932"/>
      <c r="P107" s="932"/>
      <c r="Q107" s="932"/>
    </row>
  </sheetData>
  <sheetProtection algorithmName="SHA-512" hashValue="qZPMY9TLkMaYIwL6Atfpq6ENJuk9B2Ndq4+kSJMeej68OmM2Lms4g9UUcu4Qj33WQ2m2VSLVA6NgDvpQL4nYEQ==" saltValue="YDcU+KLTJKlq7F/Aoej6kQ==" spinCount="100000" sheet="1" objects="1" scenarios="1"/>
  <mergeCells count="35">
    <mergeCell ref="G68:K68"/>
    <mergeCell ref="A66:E66"/>
    <mergeCell ref="S66:X66"/>
    <mergeCell ref="S67:X67"/>
    <mergeCell ref="M47:Q47"/>
    <mergeCell ref="A50:E50"/>
    <mergeCell ref="A53:E53"/>
    <mergeCell ref="S47:AO47"/>
    <mergeCell ref="A48:E48"/>
    <mergeCell ref="M48:Q48"/>
    <mergeCell ref="G49:K49"/>
    <mergeCell ref="A64:E64"/>
    <mergeCell ref="G64:K64"/>
    <mergeCell ref="M62:Q62"/>
    <mergeCell ref="G47:K47"/>
    <mergeCell ref="G53:K53"/>
    <mergeCell ref="G58:K58"/>
    <mergeCell ref="A61:E61"/>
    <mergeCell ref="X69:X77"/>
    <mergeCell ref="A71:E71"/>
    <mergeCell ref="G71:K71"/>
    <mergeCell ref="A73:E73"/>
    <mergeCell ref="G73:K73"/>
    <mergeCell ref="A75:E75"/>
    <mergeCell ref="G75:K75"/>
    <mergeCell ref="M75:Q75"/>
    <mergeCell ref="B90:C90"/>
    <mergeCell ref="D90:E90"/>
    <mergeCell ref="M95:Q95"/>
    <mergeCell ref="A80:E80"/>
    <mergeCell ref="X82:X83"/>
    <mergeCell ref="A83:E83"/>
    <mergeCell ref="A86:E86"/>
    <mergeCell ref="F87:F88"/>
    <mergeCell ref="A89:E89"/>
  </mergeCells>
  <phoneticPr fontId="36" type="noConversion"/>
  <conditionalFormatting sqref="D51">
    <cfRule type="expression" priority="1">
      <formula>IF(D52=8,8)</formula>
    </cfRule>
  </conditionalFormatting>
  <conditionalFormatting sqref="N145:N150">
    <cfRule type="cellIs" dxfId="5" priority="2" operator="equal">
      <formula>"*"</formula>
    </cfRule>
    <cfRule type="cellIs" dxfId="4" priority="3" operator="equal">
      <formula>"-"</formula>
    </cfRule>
    <cfRule type="cellIs" dxfId="3" priority="4" operator="equal">
      <formula>"-"</formula>
    </cfRule>
  </conditionalFormatting>
  <conditionalFormatting sqref="R157:R162">
    <cfRule type="cellIs" dxfId="2" priority="5" operator="equal">
      <formula>"固件初始化&amp;动态访问"</formula>
    </cfRule>
    <cfRule type="cellIs" dxfId="1" priority="6" operator="equal">
      <formula>"固件初始化"</formula>
    </cfRule>
    <cfRule type="cellIs" dxfId="0" priority="7" operator="equal">
      <formula>"固件动态访问"</formula>
    </cfRule>
  </conditionalFormatting>
  <dataValidations count="37">
    <dataValidation type="whole" allowBlank="1" showInputMessage="1" showErrorMessage="1" errorTitle="超出范围" error="Ultra Short: The input range :[8,100]_x000a_Standard:The input range :[21,15000000]" sqref="B10">
      <formula1>8</formula1>
      <formula2>15000000</formula2>
    </dataValidation>
    <dataValidation type="list" allowBlank="1" showInputMessage="1" showErrorMessage="1" error="Please enter 8 、10、10p、12 or 12p" sqref="B13">
      <formula1>"8,10,10p,12,12p"</formula1>
    </dataValidation>
    <dataValidation type="list" allowBlank="1" showInputMessage="1" showErrorMessage="1" errorTitle="超出范围" error="Please enter 0 or 1" sqref="B14">
      <formula1>"0,1"</formula1>
    </dataValidation>
    <dataValidation type="whole" allowBlank="1" showInputMessage="1" showErrorMessage="1" errorTitle="超出范围" error="Ultra Short模式曝光时间范围8~100us；_x000a_Standard模式曝光时间范围21~15000000 us" sqref="B11">
      <formula1>8</formula1>
      <formula2>15000000</formula2>
    </dataValidation>
    <dataValidation type="list" showInputMessage="1" showErrorMessage="1" error="Please enter Standard or Ultra Short" sqref="B9">
      <formula1>"Standard,Ultra Short"</formula1>
    </dataValidation>
    <dataValidation type="custom" allowBlank="1" showInputMessage="1" showErrorMessage="1" error="Input 1 or 2, and can not be entered when the 'SensorDecimation' is not 1" sqref="B7">
      <formula1>AND(OR((B7=1),(B7=2),(B7=4)),B8=1)</formula1>
    </dataValidation>
    <dataValidation type="custom" allowBlank="1" showInputMessage="1" showErrorMessage="1" error="Input 1  、2 or 4, and can not be entered when the 'SensorDecimation' is not 1" sqref="B6">
      <formula1>AND(OR((B6=1),(B6=2),(B6=4)),B8=1)</formula1>
    </dataValidation>
    <dataValidation type="whole" allowBlank="1" showInputMessage="1" showErrorMessage="1" error="Set the value range:[ 0,'GevSCPDMaxValue']" sqref="B20">
      <formula1>0</formula1>
      <formula2>B21</formula2>
    </dataValidation>
    <dataValidation type="list" allowBlank="1" showInputMessage="1" showErrorMessage="1" error="input 0 or 1" sqref="B14">
      <formula1>"0,1"</formula1>
    </dataValidation>
    <dataValidation type="custom" allowBlank="1" showInputMessage="1" showErrorMessage="1" errorTitle="输入数值非法" error="Input range:[16,'WidthMax'],and is an integer multiple of 8" sqref="B4">
      <formula1>AND((B4&lt;=B2),(B4&gt;=16),(MOD(B4,8)=0))</formula1>
    </dataValidation>
    <dataValidation type="custom" allowBlank="1" showInputMessage="1" showErrorMessage="1" error="Input 1 or 2" sqref="B8">
      <formula1>AND(OR((B8=1),(B8=2)),B6=1)</formula1>
    </dataValidation>
    <dataValidation type="list" allowBlank="1" showInputMessage="1" showErrorMessage="1" errorTitle="超出范围" error="Please enter 8 、10 or 12" sqref="B12">
      <formula1>"8,10,12"</formula1>
    </dataValidation>
    <dataValidation type="list" allowBlank="1" showInputMessage="1" showErrorMessage="1" error="Please enter 10000 or 1000" sqref="B15">
      <formula1>"10000,1000"</formula1>
    </dataValidation>
    <dataValidation type="list" allowBlank="1" showInputMessage="1" showErrorMessage="1" errorTitle="超出范围" error="input 0 or 1" sqref="B16">
      <formula1>"0,1"</formula1>
    </dataValidation>
    <dataValidation type="custom" allowBlank="1" showInputMessage="1" showErrorMessage="1" error="The input range :[0.1~10000.0]" sqref="B17">
      <formula1>AND(TRUNC(B17,1)=B17,(B17&gt;=0.1),(B17&lt;=10000))</formula1>
    </dataValidation>
    <dataValidation type="whole" allowBlank="1" showInputMessage="1" showErrorMessage="1" error="The input range :[0,5000]" sqref="B11">
      <formula1>0</formula1>
      <formula2>5000</formula2>
    </dataValidation>
    <dataValidation type="whole" allowBlank="1" showInputMessage="1" showErrorMessage="1" error="Set the value range [ 0,'BandwidthReserveMaxValue']" sqref="B18">
      <formula1>0</formula1>
      <formula2>B19</formula2>
    </dataValidation>
    <dataValidation type="custom" allowBlank="1" showInputMessage="1" showErrorMessage="1" error="The input range :[512,8192], and the step size is 4" sqref="B22">
      <formula1>AND((B22&lt;=8192),(B22&gt;=512),(MOD(B22,4)=0))</formula1>
    </dataValidation>
    <dataValidation allowBlank="1" showErrorMessage="1" promptTitle="参数变化" prompt="该参数会根据当前生效的水平像素Binning、水平像素抽样变化" sqref="B2:B3"/>
    <dataValidation type="custom" allowBlank="1" showInputMessage="1" showErrorMessage="1" errorTitle="输入数值非法" error="Input range:[4,'HeightMax'],and is an integer multiple of 4" sqref="B5">
      <formula1>AND((B5&lt;=B3),(B5&gt;=2),(MOD(B5,8)=0))</formula1>
    </dataValidation>
    <dataValidation allowBlank="1" showInputMessage="1" showErrorMessage="1" error="输入范围是64~1024，步长为2" sqref="A1:B1"/>
    <dataValidation type="custom" allowBlank="1" showInputMessage="1" showErrorMessage="1" sqref="D77">
      <formula1>AND(MOD(D77,4)=0,D77&gt;=512,D77&lt;=16384)</formula1>
    </dataValidation>
    <dataValidation type="whole" allowBlank="1" showInputMessage="1" showErrorMessage="1" errorTitle="超出范围" error="触发延时的范围是0-3000000us" sqref="D65">
      <formula1>0</formula1>
      <formula2>3000000</formula2>
    </dataValidation>
    <dataValidation type="whole" allowBlank="1" showInputMessage="1" showErrorMessage="1" errorTitle="超出范围" error="极小曝光模式的范围是1us-100us_x000a_普通曝光模式的范围是20us-1s" sqref="D58">
      <formula1>IF(D57="Ultra Short",1,13)</formula1>
      <formula2>IF(D57="Ultra Short",100,1000000)</formula2>
    </dataValidation>
    <dataValidation type="list" allowBlank="1" showInputMessage="1" showErrorMessage="1" sqref="D54 D72 D74">
      <formula1>"0,1"</formula1>
    </dataValidation>
    <dataValidation type="whole" allowBlank="1" showInputMessage="1" showErrorMessage="1" errorTitle="超出范围" error="曝光延迟的范围是0-5000us" sqref="D59">
      <formula1>0</formula1>
      <formula2>5000</formula2>
    </dataValidation>
    <dataValidation type="list" allowBlank="1" showInputMessage="1" showErrorMessage="1" errorTitle="超出范围" error="曝光时间的范围是63us-1s" sqref="D57">
      <formula1>"Standard,Ultra Short"</formula1>
    </dataValidation>
    <dataValidation type="decimal" allowBlank="1" showInputMessage="1" showErrorMessage="1" sqref="D82">
      <formula1>0.1</formula1>
      <formula2>10000</formula2>
    </dataValidation>
    <dataValidation type="list" allowBlank="1" showInputMessage="1" showErrorMessage="1" sqref="C46">
      <formula1>"S6,A7,EFX,A7-100T,Polarfire"</formula1>
    </dataValidation>
    <dataValidation type="list" allowBlank="1" showInputMessage="1" showErrorMessage="1" sqref="D55">
      <formula1>"Timed,TriggerWidth"</formula1>
    </dataValidation>
    <dataValidation type="whole" operator="greaterThan" allowBlank="1" showInputMessage="1" showErrorMessage="1" error="触发信号长度需要大于0" sqref="D60">
      <formula1>0</formula1>
    </dataValidation>
    <dataValidation type="list" allowBlank="1" showInputMessage="1" showErrorMessage="1" sqref="A105">
      <formula1>$A$110:$A$113</formula1>
    </dataValidation>
    <dataValidation type="list" allowBlank="1" showInputMessage="1" showErrorMessage="1" sqref="D83">
      <formula1>"1,2"</formula1>
    </dataValidation>
    <dataValidation type="whole" allowBlank="1" showInputMessage="1" showErrorMessage="1" errorTitle="设置值超出范围" error="预留带宽设置值超出范围" sqref="D79">
      <formula1>0</formula1>
      <formula2>J77</formula2>
    </dataValidation>
    <dataValidation type="whole" allowBlank="1" showInputMessage="1" showErrorMessage="1" errorTitle="设置值超出范围" error="包间隔设置值超出范围" sqref="D78">
      <formula1>J86</formula1>
      <formula2>J75</formula2>
    </dataValidation>
    <dataValidation type="whole" operator="lessThanOrEqual" allowBlank="1" showInputMessage="1" showErrorMessage="1" errorTitle="超出范围" error="ExposureOverlapTimeMax应小于（读出时间-两次曝光间隔最小值）" sqref="D56">
      <formula1>INT((J54-P55)*J50/1000)</formula1>
    </dataValidation>
    <dataValidation type="list" allowBlank="1" showInputMessage="1" showErrorMessage="1" sqref="C47">
      <formula1>$S$49:$S$56</formula1>
    </dataValidation>
  </dataValidation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V149"/>
  <sheetViews>
    <sheetView workbookViewId="0">
      <selection activeCell="B6" sqref="B6"/>
    </sheetView>
  </sheetViews>
  <sheetFormatPr defaultColWidth="9" defaultRowHeight="30" customHeight="1"/>
  <cols>
    <col min="1" max="1" width="28.625" style="200" customWidth="1"/>
    <col min="2" max="2" width="31.25" style="200" customWidth="1"/>
    <col min="3" max="3" width="14.875" style="200" customWidth="1"/>
    <col min="4" max="4" width="18.25" style="200" customWidth="1"/>
    <col min="5" max="5" width="6.75" style="200" customWidth="1"/>
    <col min="6" max="6" width="4.5" style="200" customWidth="1"/>
    <col min="7" max="7" width="17.75" style="200" customWidth="1"/>
    <col min="8" max="8" width="15.75" style="200" customWidth="1"/>
    <col min="9" max="9" width="57.375" style="200" customWidth="1"/>
    <col min="10" max="10" width="18.25" style="200" customWidth="1"/>
    <col min="11" max="12" width="4.5" style="200" customWidth="1"/>
    <col min="13" max="13" width="25.625" style="200" customWidth="1"/>
    <col min="14" max="14" width="22.875" style="200" customWidth="1"/>
    <col min="15" max="15" width="43.5" style="200" customWidth="1"/>
    <col min="16" max="16" width="10.25" style="200" customWidth="1"/>
    <col min="17" max="17" width="6.375" style="200" customWidth="1"/>
    <col min="18" max="18" width="4.875" style="200" customWidth="1"/>
    <col min="19" max="19" width="26.5" style="200" customWidth="1"/>
    <col min="20" max="20" width="13.125" style="200" customWidth="1"/>
    <col min="21" max="21" width="20.625" style="200" customWidth="1"/>
    <col min="22" max="22" width="23.375" style="200" customWidth="1"/>
    <col min="23" max="23" width="14.125" style="200" customWidth="1"/>
    <col min="24" max="24" width="18.875" style="200" customWidth="1"/>
    <col min="25" max="25" width="12" style="200" customWidth="1"/>
    <col min="26" max="26" width="14" style="200" customWidth="1"/>
    <col min="27" max="27" width="17" style="200" customWidth="1"/>
    <col min="28" max="28" width="20.375" style="200" customWidth="1"/>
    <col min="29" max="29" width="21" style="200" customWidth="1"/>
    <col min="30" max="30" width="20.25" style="200" customWidth="1"/>
    <col min="31" max="31" width="21.5" style="200" customWidth="1"/>
    <col min="32" max="32" width="24.125" style="200" customWidth="1"/>
    <col min="33" max="33" width="11.625" style="200" customWidth="1"/>
    <col min="34" max="34" width="21.625" style="200" customWidth="1"/>
    <col min="35" max="35" width="17.25" style="200" customWidth="1"/>
    <col min="36" max="36" width="13.5" style="200" customWidth="1"/>
    <col min="37" max="37" width="12.875" style="200" customWidth="1"/>
    <col min="38" max="40" width="21.625" style="200" customWidth="1"/>
    <col min="41" max="41" width="19.375" style="200" customWidth="1"/>
    <col min="42" max="46" width="20.25" style="200" customWidth="1"/>
    <col min="47" max="47" width="23" style="200" customWidth="1"/>
    <col min="48" max="48" width="18.375" style="200" customWidth="1"/>
    <col min="49" max="16384" width="9" style="200"/>
  </cols>
  <sheetData>
    <row r="1" spans="1:3" s="403" customFormat="1" ht="13.5">
      <c r="A1" s="198" t="s">
        <v>16</v>
      </c>
      <c r="B1" s="199"/>
    </row>
    <row r="2" spans="1:3" s="403" customFormat="1" ht="13.5">
      <c r="A2" s="198" t="s">
        <v>17</v>
      </c>
      <c r="B2" s="198">
        <f>IF(C30=1,C28,C26)</f>
        <v>2592</v>
      </c>
    </row>
    <row r="3" spans="1:3" s="403" customFormat="1" ht="13.5">
      <c r="A3" s="198" t="s">
        <v>18</v>
      </c>
      <c r="B3" s="198">
        <f>IF(C31=1,C29,C27)</f>
        <v>2160</v>
      </c>
    </row>
    <row r="4" spans="1:3" s="403" customFormat="1" ht="13.5">
      <c r="A4" s="198" t="s">
        <v>19</v>
      </c>
      <c r="B4" s="199">
        <v>2592</v>
      </c>
      <c r="C4" s="405" t="str">
        <f>IF(OR(B4&gt;B2,B4&lt;4),I25,"")</f>
        <v/>
      </c>
    </row>
    <row r="5" spans="1:3" s="403" customFormat="1" ht="13.5">
      <c r="A5" s="198" t="s">
        <v>20</v>
      </c>
      <c r="B5" s="199">
        <v>2160</v>
      </c>
      <c r="C5" s="405" t="str">
        <f>IF(OR(B5&gt;B3,B5&lt;2),I26,"")</f>
        <v/>
      </c>
    </row>
    <row r="6" spans="1:3" s="403" customFormat="1" ht="13.5">
      <c r="A6" s="198" t="s">
        <v>21</v>
      </c>
      <c r="B6" s="199">
        <v>1</v>
      </c>
      <c r="C6" s="405"/>
    </row>
    <row r="7" spans="1:3" s="403" customFormat="1" ht="13.5">
      <c r="A7" s="198" t="s">
        <v>23</v>
      </c>
      <c r="B7" s="199">
        <v>1</v>
      </c>
    </row>
    <row r="8" spans="1:3" s="403" customFormat="1" ht="13.5">
      <c r="A8" s="198" t="s">
        <v>24</v>
      </c>
      <c r="B8" s="199">
        <v>1</v>
      </c>
    </row>
    <row r="9" spans="1:3" s="403" customFormat="1" ht="13.5">
      <c r="A9" s="198" t="s">
        <v>25</v>
      </c>
      <c r="B9" s="199">
        <v>10000</v>
      </c>
    </row>
    <row r="10" spans="1:3" s="403" customFormat="1" ht="13.5">
      <c r="A10" s="198" t="s">
        <v>422</v>
      </c>
      <c r="B10" s="199">
        <v>8</v>
      </c>
    </row>
    <row r="11" spans="1:3" s="403" customFormat="1" ht="13.5">
      <c r="A11" s="198" t="s">
        <v>27</v>
      </c>
      <c r="B11" s="199">
        <v>10000</v>
      </c>
    </row>
    <row r="12" spans="1:3" s="403" customFormat="1" ht="13.5">
      <c r="A12" s="198" t="s">
        <v>28</v>
      </c>
      <c r="B12" s="199">
        <v>0</v>
      </c>
    </row>
    <row r="13" spans="1:3" s="403" customFormat="1" ht="13.5">
      <c r="A13" s="198" t="s">
        <v>29</v>
      </c>
      <c r="B13" s="199">
        <v>207</v>
      </c>
    </row>
    <row r="14" spans="1:3" s="403" customFormat="1" ht="13.5">
      <c r="A14" s="198" t="s">
        <v>30</v>
      </c>
      <c r="B14" s="199">
        <v>2</v>
      </c>
    </row>
    <row r="15" spans="1:3" s="403" customFormat="1" ht="13.5">
      <c r="A15" s="198" t="s">
        <v>31</v>
      </c>
      <c r="B15" s="198">
        <f>J66</f>
        <v>99</v>
      </c>
    </row>
    <row r="16" spans="1:3" s="403" customFormat="1" ht="13.5">
      <c r="A16" s="198" t="s">
        <v>32</v>
      </c>
      <c r="B16" s="199">
        <v>0</v>
      </c>
    </row>
    <row r="17" spans="1:11" s="403" customFormat="1" ht="13.5">
      <c r="A17" s="198" t="s">
        <v>33</v>
      </c>
      <c r="B17" s="198">
        <f>J64</f>
        <v>14175813</v>
      </c>
    </row>
    <row r="18" spans="1:11" s="403" customFormat="1" ht="13.5">
      <c r="A18" s="198" t="s">
        <v>34</v>
      </c>
      <c r="B18" s="199">
        <v>8164</v>
      </c>
    </row>
    <row r="19" spans="1:11" s="403" customFormat="1" ht="13.5">
      <c r="A19" s="198" t="s">
        <v>35</v>
      </c>
      <c r="B19" s="199">
        <v>0</v>
      </c>
    </row>
    <row r="20" spans="1:11" s="403" customFormat="1" ht="13.5">
      <c r="A20" s="198" t="s">
        <v>36</v>
      </c>
      <c r="B20" s="199">
        <v>0</v>
      </c>
    </row>
    <row r="21" spans="1:11" s="403" customFormat="1" ht="13.5">
      <c r="A21" s="198"/>
      <c r="B21" s="199"/>
    </row>
    <row r="22" spans="1:11" s="403" customFormat="1" ht="13.5">
      <c r="A22" s="198" t="s">
        <v>37</v>
      </c>
      <c r="B22" s="198">
        <f>D81</f>
        <v>99.720781810929395</v>
      </c>
      <c r="C22" s="405" t="str">
        <f>IF(I31,I27,"")</f>
        <v/>
      </c>
    </row>
    <row r="23" spans="1:11" ht="30" hidden="1" customHeight="1">
      <c r="A23" s="403"/>
      <c r="B23" s="403"/>
      <c r="C23" s="403"/>
      <c r="D23" s="403"/>
      <c r="E23" s="403"/>
      <c r="F23" s="403"/>
      <c r="G23" s="403"/>
      <c r="H23" s="403"/>
      <c r="I23" s="403"/>
      <c r="J23" s="403"/>
      <c r="K23" s="403"/>
    </row>
    <row r="24" spans="1:11" ht="30" hidden="1" customHeight="1">
      <c r="A24" s="403"/>
      <c r="B24" s="403"/>
      <c r="C24" s="403"/>
      <c r="D24" s="403"/>
      <c r="E24" s="403"/>
      <c r="F24" s="403"/>
      <c r="G24" s="403"/>
      <c r="H24" s="403"/>
      <c r="I24" t="s">
        <v>400</v>
      </c>
      <c r="J24" s="403"/>
      <c r="K24" s="403"/>
    </row>
    <row r="25" spans="1:11" ht="30" hidden="1" customHeight="1">
      <c r="A25" s="403"/>
      <c r="B25" s="403"/>
      <c r="C25" s="403"/>
      <c r="D25" s="403"/>
      <c r="E25" s="403"/>
      <c r="F25" s="403"/>
      <c r="G25" s="403"/>
      <c r="H25" s="403"/>
      <c r="I25" t="s">
        <v>401</v>
      </c>
      <c r="J25" s="403"/>
      <c r="K25" s="403"/>
    </row>
    <row r="26" spans="1:11" s="403" customFormat="1" ht="27" hidden="1">
      <c r="A26" s="198" t="s">
        <v>40</v>
      </c>
      <c r="B26" s="198"/>
      <c r="C26" s="198">
        <f>ROUNDDOWN(C28/2/16,0)*16</f>
        <v>1296</v>
      </c>
      <c r="I26" s="403" t="s">
        <v>402</v>
      </c>
    </row>
    <row r="27" spans="1:11" s="403" customFormat="1" ht="27" hidden="1">
      <c r="A27" s="198" t="s">
        <v>42</v>
      </c>
      <c r="B27" s="198"/>
      <c r="C27" s="198">
        <f>C29/2</f>
        <v>1080</v>
      </c>
      <c r="I27" s="403" t="s">
        <v>403</v>
      </c>
    </row>
    <row r="28" spans="1:11" s="403" customFormat="1" ht="13.5" hidden="1">
      <c r="A28" s="198" t="s">
        <v>44</v>
      </c>
      <c r="B28" s="198"/>
      <c r="C28" s="198">
        <f>C60</f>
        <v>2592</v>
      </c>
    </row>
    <row r="29" spans="1:11" s="403" customFormat="1" ht="13.5" hidden="1">
      <c r="A29" s="198" t="s">
        <v>45</v>
      </c>
      <c r="B29" s="198"/>
      <c r="C29" s="198">
        <f>C61</f>
        <v>2160</v>
      </c>
    </row>
    <row r="30" spans="1:11" s="403" customFormat="1" ht="13.5" hidden="1">
      <c r="A30" s="198" t="s">
        <v>46</v>
      </c>
      <c r="B30" s="198"/>
      <c r="C30" s="198">
        <f>IF(B6=1,B7,B6)</f>
        <v>1</v>
      </c>
      <c r="I30" s="403" t="s">
        <v>404</v>
      </c>
    </row>
    <row r="31" spans="1:11" s="403" customFormat="1" ht="13.5" hidden="1">
      <c r="A31" s="198" t="s">
        <v>48</v>
      </c>
      <c r="B31" s="198"/>
      <c r="C31" s="198">
        <f>B8</f>
        <v>1</v>
      </c>
      <c r="I31" s="403">
        <f>IF(OR(OR(B4&gt;B2,B4&lt;4),OR(B5&gt;B3,B5&lt;2)),1,0)</f>
        <v>0</v>
      </c>
    </row>
    <row r="32" spans="1:11" ht="30" hidden="1" customHeight="1"/>
    <row r="33" spans="1:48" ht="30" hidden="1" customHeight="1"/>
    <row r="34" spans="1:48" ht="30" hidden="1" customHeight="1"/>
    <row r="35" spans="1:48" ht="30" hidden="1" customHeight="1">
      <c r="C35" s="574">
        <f>IF(B10=8,8,12)</f>
        <v>8</v>
      </c>
    </row>
    <row r="36" spans="1:48" ht="30" hidden="1" customHeight="1"/>
    <row r="37" spans="1:48" ht="30" hidden="1" customHeight="1"/>
    <row r="38" spans="1:48" ht="30" hidden="1" customHeight="1"/>
    <row r="39" spans="1:48" ht="30" hidden="1" customHeight="1"/>
    <row r="40" spans="1:48" ht="30" hidden="1" customHeight="1">
      <c r="A40" s="201" t="s">
        <v>49</v>
      </c>
      <c r="B40" s="201" t="s">
        <v>50</v>
      </c>
      <c r="C40" s="202" t="s">
        <v>406</v>
      </c>
      <c r="D40" s="203"/>
      <c r="E40" s="203"/>
      <c r="F40" s="203"/>
      <c r="G40" s="1202" t="s">
        <v>52</v>
      </c>
      <c r="H40" s="1203"/>
      <c r="I40" s="1203"/>
      <c r="J40" s="1203"/>
      <c r="K40" s="1204"/>
      <c r="L40" s="259"/>
      <c r="M40" s="1202" t="s">
        <v>53</v>
      </c>
      <c r="N40" s="1203"/>
      <c r="O40" s="1203"/>
      <c r="P40" s="1203"/>
      <c r="Q40" s="1204"/>
      <c r="R40" s="259"/>
      <c r="S40" s="1205" t="s">
        <v>54</v>
      </c>
      <c r="T40" s="1206"/>
      <c r="U40" s="1206"/>
      <c r="V40" s="1206"/>
      <c r="W40" s="1206"/>
      <c r="X40" s="1206"/>
      <c r="Y40" s="1206"/>
      <c r="Z40" s="1206"/>
      <c r="AA40" s="1206"/>
      <c r="AB40" s="1206"/>
      <c r="AC40" s="1206"/>
      <c r="AD40" s="1206"/>
      <c r="AE40" s="1206"/>
      <c r="AF40" s="1206"/>
      <c r="AG40" s="1206"/>
      <c r="AH40" s="1206"/>
      <c r="AI40" s="1206"/>
      <c r="AJ40" s="1206"/>
      <c r="AK40" s="1206"/>
      <c r="AL40" s="1206"/>
      <c r="AM40" s="1206"/>
      <c r="AN40" s="1206"/>
      <c r="AO40" s="1206"/>
      <c r="AP40" s="1206"/>
      <c r="AQ40" s="1206"/>
      <c r="AR40" s="1206"/>
      <c r="AS40" s="1206"/>
      <c r="AT40" s="1206"/>
      <c r="AU40" s="1206"/>
      <c r="AV40" s="1207"/>
    </row>
    <row r="41" spans="1:48" ht="30" hidden="1" customHeight="1">
      <c r="A41" s="201" t="s">
        <v>55</v>
      </c>
      <c r="B41" s="201" t="s">
        <v>56</v>
      </c>
      <c r="C41" s="202" t="s">
        <v>100</v>
      </c>
      <c r="D41" s="203"/>
      <c r="E41" s="203"/>
      <c r="F41" s="203"/>
      <c r="G41" s="1208" t="s">
        <v>58</v>
      </c>
      <c r="H41" s="1209"/>
      <c r="I41" s="1209"/>
      <c r="J41" s="1209"/>
      <c r="K41" s="1210"/>
      <c r="L41" s="259"/>
      <c r="M41" s="1208" t="s">
        <v>59</v>
      </c>
      <c r="N41" s="1209"/>
      <c r="O41" s="1209"/>
      <c r="P41" s="1209"/>
      <c r="Q41" s="1210"/>
      <c r="R41" s="259"/>
      <c r="S41" s="306" t="s">
        <v>60</v>
      </c>
      <c r="T41" s="307" t="s">
        <v>61</v>
      </c>
      <c r="U41" s="307" t="s">
        <v>62</v>
      </c>
      <c r="V41" s="307" t="s">
        <v>63</v>
      </c>
      <c r="W41" s="307" t="s">
        <v>64</v>
      </c>
      <c r="X41" s="307" t="s">
        <v>65</v>
      </c>
      <c r="Y41" s="307" t="s">
        <v>66</v>
      </c>
      <c r="Z41" s="307" t="s">
        <v>67</v>
      </c>
      <c r="AA41" s="307" t="s">
        <v>68</v>
      </c>
      <c r="AB41" s="307" t="s">
        <v>69</v>
      </c>
      <c r="AC41" s="307" t="s">
        <v>70</v>
      </c>
      <c r="AD41" s="307" t="s">
        <v>71</v>
      </c>
      <c r="AE41" s="307" t="s">
        <v>72</v>
      </c>
      <c r="AF41" s="307" t="s">
        <v>73</v>
      </c>
      <c r="AG41" s="307" t="s">
        <v>74</v>
      </c>
      <c r="AH41" s="307" t="s">
        <v>75</v>
      </c>
      <c r="AI41" s="307" t="s">
        <v>76</v>
      </c>
      <c r="AJ41" s="307" t="s">
        <v>77</v>
      </c>
      <c r="AK41" s="307" t="s">
        <v>78</v>
      </c>
      <c r="AL41" s="307" t="s">
        <v>79</v>
      </c>
      <c r="AM41" s="347" t="s">
        <v>80</v>
      </c>
      <c r="AN41" s="307" t="s">
        <v>81</v>
      </c>
      <c r="AO41" s="307" t="s">
        <v>82</v>
      </c>
      <c r="AP41" s="307" t="s">
        <v>83</v>
      </c>
      <c r="AQ41" s="307" t="s">
        <v>84</v>
      </c>
      <c r="AR41" s="307" t="s">
        <v>85</v>
      </c>
      <c r="AS41" s="358" t="s">
        <v>86</v>
      </c>
      <c r="AT41" s="307" t="s">
        <v>87</v>
      </c>
      <c r="AU41" s="307" t="s">
        <v>88</v>
      </c>
      <c r="AV41" s="360" t="s">
        <v>89</v>
      </c>
    </row>
    <row r="42" spans="1:48" ht="30" hidden="1" customHeight="1">
      <c r="A42" s="1202" t="s">
        <v>90</v>
      </c>
      <c r="B42" s="1203"/>
      <c r="C42" s="1203"/>
      <c r="D42" s="1203"/>
      <c r="E42" s="1204"/>
      <c r="F42" s="203"/>
      <c r="G42" s="260" t="s">
        <v>91</v>
      </c>
      <c r="H42" s="261" t="s">
        <v>92</v>
      </c>
      <c r="I42" s="261" t="s">
        <v>93</v>
      </c>
      <c r="J42" s="261" t="s">
        <v>94</v>
      </c>
      <c r="K42" s="262" t="s">
        <v>95</v>
      </c>
      <c r="L42" s="259"/>
      <c r="M42" s="204" t="s">
        <v>91</v>
      </c>
      <c r="N42" s="205" t="s">
        <v>92</v>
      </c>
      <c r="O42" s="205" t="s">
        <v>93</v>
      </c>
      <c r="P42" s="205" t="s">
        <v>96</v>
      </c>
      <c r="Q42" s="308" t="s">
        <v>95</v>
      </c>
      <c r="R42" s="259"/>
      <c r="S42" s="309" t="s">
        <v>405</v>
      </c>
      <c r="T42" s="310" t="s">
        <v>98</v>
      </c>
      <c r="U42" s="310">
        <v>80</v>
      </c>
      <c r="V42" s="333">
        <v>80</v>
      </c>
      <c r="W42" s="334">
        <v>1</v>
      </c>
      <c r="X42" s="333">
        <v>16</v>
      </c>
      <c r="Y42" s="334">
        <v>128</v>
      </c>
      <c r="Z42" s="334">
        <v>4</v>
      </c>
      <c r="AA42" s="310">
        <v>5376</v>
      </c>
      <c r="AB42" s="310">
        <v>1</v>
      </c>
      <c r="AC42" s="310">
        <v>5376</v>
      </c>
      <c r="AD42" s="310">
        <v>5184</v>
      </c>
      <c r="AE42" s="333">
        <f>ROUNDUP((6*AF42/V42)*1000,0)+ROUNDUP(3*$J$43,0)</f>
        <v>15900</v>
      </c>
      <c r="AF42" s="348">
        <f>IF(D45=8,124,248)</f>
        <v>124</v>
      </c>
      <c r="AG42" s="348">
        <v>3</v>
      </c>
      <c r="AH42" s="348">
        <v>3</v>
      </c>
      <c r="AI42" s="348">
        <v>636</v>
      </c>
      <c r="AJ42" s="348">
        <v>6</v>
      </c>
      <c r="AK42" s="348">
        <v>14</v>
      </c>
      <c r="AL42" s="310">
        <v>1</v>
      </c>
      <c r="AM42" s="350" t="s">
        <v>99</v>
      </c>
      <c r="AN42" s="333">
        <v>20000</v>
      </c>
      <c r="AO42" s="348">
        <v>5120</v>
      </c>
      <c r="AP42" s="348">
        <v>5120</v>
      </c>
      <c r="AQ42" s="310">
        <v>42</v>
      </c>
      <c r="AR42" s="310">
        <v>1</v>
      </c>
      <c r="AS42" s="361">
        <v>156.25</v>
      </c>
      <c r="AT42" s="310">
        <v>1</v>
      </c>
      <c r="AU42" s="310" t="s">
        <v>100</v>
      </c>
      <c r="AV42" s="363">
        <v>0</v>
      </c>
    </row>
    <row r="43" spans="1:48" ht="30" hidden="1" customHeight="1">
      <c r="A43" s="204" t="s">
        <v>91</v>
      </c>
      <c r="B43" s="205" t="s">
        <v>92</v>
      </c>
      <c r="C43" s="205" t="s">
        <v>101</v>
      </c>
      <c r="D43" s="205" t="s">
        <v>102</v>
      </c>
      <c r="E43" s="206" t="s">
        <v>95</v>
      </c>
      <c r="F43" s="203"/>
      <c r="G43" s="211" t="s">
        <v>103</v>
      </c>
      <c r="H43" s="212" t="s">
        <v>104</v>
      </c>
      <c r="I43" s="251" t="s">
        <v>105</v>
      </c>
      <c r="J43" s="263">
        <f>ROUNDUP(1000*P46*P44/P43,0)</f>
        <v>2200</v>
      </c>
      <c r="K43" s="211" t="s">
        <v>106</v>
      </c>
      <c r="L43" s="259"/>
      <c r="M43" s="211" t="s">
        <v>107</v>
      </c>
      <c r="N43" s="212" t="s">
        <v>108</v>
      </c>
      <c r="O43" s="212" t="s">
        <v>109</v>
      </c>
      <c r="P43" s="311">
        <f>VLOOKUP($C$40,$S$42:$AU$59,4,FALSE)</f>
        <v>80</v>
      </c>
      <c r="Q43" s="312" t="s">
        <v>110</v>
      </c>
      <c r="R43" s="259"/>
      <c r="S43" s="396" t="s">
        <v>406</v>
      </c>
      <c r="T43" s="268" t="s">
        <v>407</v>
      </c>
      <c r="U43" s="268">
        <v>80</v>
      </c>
      <c r="V43" s="268">
        <v>80</v>
      </c>
      <c r="W43" s="316">
        <v>1</v>
      </c>
      <c r="X43" s="316">
        <v>20</v>
      </c>
      <c r="Y43" s="316">
        <v>100</v>
      </c>
      <c r="Z43" s="316">
        <v>4</v>
      </c>
      <c r="AA43" s="268">
        <v>2800</v>
      </c>
      <c r="AB43" s="268">
        <v>1</v>
      </c>
      <c r="AC43" s="268">
        <v>2800</v>
      </c>
      <c r="AD43" s="268">
        <v>2224</v>
      </c>
      <c r="AE43" s="399">
        <f>ROUNDUP(AF43*1000/V43,0)+ROUNDUP(9*AG43*AF43*1000/V43,0)</f>
        <v>22000</v>
      </c>
      <c r="AF43" s="397">
        <f>IF(D45=8,176,352)</f>
        <v>176</v>
      </c>
      <c r="AG43" s="397">
        <v>1</v>
      </c>
      <c r="AH43" s="398">
        <v>3</v>
      </c>
      <c r="AI43" s="397">
        <v>119</v>
      </c>
      <c r="AJ43" s="397">
        <v>6</v>
      </c>
      <c r="AK43" s="398">
        <v>14</v>
      </c>
      <c r="AL43" s="399">
        <v>1</v>
      </c>
      <c r="AM43" s="567" t="s">
        <v>99</v>
      </c>
      <c r="AN43" s="399">
        <v>10000</v>
      </c>
      <c r="AO43" s="397">
        <v>2592</v>
      </c>
      <c r="AP43" s="397">
        <v>2160</v>
      </c>
      <c r="AQ43" s="399">
        <v>200</v>
      </c>
      <c r="AR43" s="268">
        <v>1</v>
      </c>
      <c r="AS43" s="568">
        <v>156.25</v>
      </c>
      <c r="AT43" s="399">
        <v>1</v>
      </c>
      <c r="AU43" s="399" t="s">
        <v>100</v>
      </c>
      <c r="AV43" s="402">
        <v>0</v>
      </c>
    </row>
    <row r="44" spans="1:48" ht="115.5" hidden="1" customHeight="1">
      <c r="A44" s="1208" t="s">
        <v>113</v>
      </c>
      <c r="B44" s="1209"/>
      <c r="C44" s="1209"/>
      <c r="D44" s="1209"/>
      <c r="E44" s="1210"/>
      <c r="F44" s="203"/>
      <c r="G44" s="264" t="s">
        <v>114</v>
      </c>
      <c r="H44" s="227" t="s">
        <v>115</v>
      </c>
      <c r="I44" s="220" t="s">
        <v>116</v>
      </c>
      <c r="J44" s="265">
        <f>IF(D53=0,MAX(J47,J48,J49,J50)+J55,IF(D47="TriggerWidth",MAX(J47,J49,J68),IF(D54=0,MAX(J47,J48,J49)+J55,MAX(J47,J48,J49,J50)+J55)))</f>
        <v>10028</v>
      </c>
      <c r="K44" s="264" t="s">
        <v>117</v>
      </c>
      <c r="M44" s="264" t="s">
        <v>118</v>
      </c>
      <c r="N44" s="227" t="s">
        <v>118</v>
      </c>
      <c r="O44" s="227" t="s">
        <v>109</v>
      </c>
      <c r="P44" s="321">
        <f>VLOOKUP($C$40,$S$42:$AU$59,14,FALSE)</f>
        <v>176</v>
      </c>
      <c r="Q44" s="317" t="s">
        <v>119</v>
      </c>
      <c r="S44" s="396" t="s">
        <v>408</v>
      </c>
      <c r="T44" s="268" t="s">
        <v>409</v>
      </c>
      <c r="U44" s="268">
        <v>80</v>
      </c>
      <c r="V44" s="268">
        <v>80</v>
      </c>
      <c r="W44" s="316">
        <v>1</v>
      </c>
      <c r="X44" s="316">
        <v>16</v>
      </c>
      <c r="Y44" s="316">
        <v>140</v>
      </c>
      <c r="Z44" s="316">
        <v>4</v>
      </c>
      <c r="AA44" s="268">
        <v>4480</v>
      </c>
      <c r="AB44" s="268">
        <v>1</v>
      </c>
      <c r="AC44" s="268">
        <v>4480</v>
      </c>
      <c r="AD44" s="268">
        <v>2224</v>
      </c>
      <c r="AE44" s="399">
        <f>ROUNDUP(AF44*1000/V44,0)+ROUNDUP(9*AG44*AF44*1000/V44,0)</f>
        <v>36100</v>
      </c>
      <c r="AF44" s="397">
        <f>IF(D45=8,152,304)</f>
        <v>152</v>
      </c>
      <c r="AG44" s="397">
        <v>2</v>
      </c>
      <c r="AH44" s="398">
        <v>3</v>
      </c>
      <c r="AI44" s="397">
        <v>119</v>
      </c>
      <c r="AJ44" s="397">
        <v>6</v>
      </c>
      <c r="AK44" s="398">
        <v>14</v>
      </c>
      <c r="AL44" s="399">
        <v>1</v>
      </c>
      <c r="AM44" s="567" t="s">
        <v>99</v>
      </c>
      <c r="AN44" s="399">
        <v>10000</v>
      </c>
      <c r="AO44" s="397">
        <v>4192</v>
      </c>
      <c r="AP44" s="397">
        <v>2160</v>
      </c>
      <c r="AQ44" s="399">
        <v>117</v>
      </c>
      <c r="AR44" s="268">
        <v>1</v>
      </c>
      <c r="AS44" s="568">
        <v>156.25</v>
      </c>
      <c r="AT44" s="399">
        <v>1</v>
      </c>
      <c r="AU44" s="399" t="s">
        <v>100</v>
      </c>
      <c r="AV44" s="402">
        <v>0</v>
      </c>
    </row>
    <row r="45" spans="1:48" ht="30" hidden="1" customHeight="1">
      <c r="A45" s="207" t="s">
        <v>121</v>
      </c>
      <c r="B45" s="208" t="s">
        <v>113</v>
      </c>
      <c r="C45" s="208">
        <v>8</v>
      </c>
      <c r="D45" s="209">
        <f>C35</f>
        <v>8</v>
      </c>
      <c r="E45" s="210" t="s">
        <v>122</v>
      </c>
      <c r="F45" s="203"/>
      <c r="G45" s="216" t="s">
        <v>123</v>
      </c>
      <c r="H45" s="217" t="s">
        <v>58</v>
      </c>
      <c r="I45" s="225" t="s">
        <v>124</v>
      </c>
      <c r="J45" s="266">
        <f>1000000/J44</f>
        <v>99.720781810929395</v>
      </c>
      <c r="K45" s="216" t="s">
        <v>125</v>
      </c>
      <c r="M45" s="264" t="s">
        <v>126</v>
      </c>
      <c r="N45" s="227" t="s">
        <v>127</v>
      </c>
      <c r="O45" s="227" t="s">
        <v>109</v>
      </c>
      <c r="P45" s="321">
        <f>VLOOKUP($C$40,$S$42:$AU$59,13,FALSE)</f>
        <v>22000</v>
      </c>
      <c r="Q45" s="317" t="s">
        <v>106</v>
      </c>
      <c r="S45" s="318" t="s">
        <v>410</v>
      </c>
      <c r="T45" s="319" t="s">
        <v>411</v>
      </c>
      <c r="U45" s="319">
        <v>80</v>
      </c>
      <c r="V45" s="319">
        <v>80</v>
      </c>
      <c r="W45" s="335">
        <v>1</v>
      </c>
      <c r="X45" s="335">
        <v>16</v>
      </c>
      <c r="Y45" s="335">
        <v>114</v>
      </c>
      <c r="Z45" s="335">
        <v>6</v>
      </c>
      <c r="AA45" s="319">
        <v>4736</v>
      </c>
      <c r="AB45" s="319">
        <v>1</v>
      </c>
      <c r="AC45" s="319">
        <v>4736</v>
      </c>
      <c r="AD45" s="319">
        <v>4162</v>
      </c>
      <c r="AE45" s="399">
        <f>ROUNDUP(7*AF45*1000/V45,0)+ROUNDUP(10*AG45*AF45*1000/V45,0)</f>
        <v>51300</v>
      </c>
      <c r="AF45" s="357">
        <f>IF(D45=8,152,304)</f>
        <v>152</v>
      </c>
      <c r="AG45" s="357">
        <v>2</v>
      </c>
      <c r="AH45" s="357">
        <v>3</v>
      </c>
      <c r="AI45" s="357">
        <v>636</v>
      </c>
      <c r="AJ45" s="357">
        <v>6</v>
      </c>
      <c r="AK45" s="357">
        <v>14</v>
      </c>
      <c r="AL45" s="319">
        <v>1</v>
      </c>
      <c r="AM45" s="319" t="s">
        <v>99</v>
      </c>
      <c r="AN45" s="319">
        <v>10000</v>
      </c>
      <c r="AO45" s="357">
        <v>4496</v>
      </c>
      <c r="AP45" s="357">
        <v>4096</v>
      </c>
      <c r="AQ45" s="319">
        <v>61</v>
      </c>
      <c r="AR45" s="319">
        <v>1</v>
      </c>
      <c r="AS45" s="371">
        <v>156.25</v>
      </c>
      <c r="AT45" s="319">
        <v>1</v>
      </c>
      <c r="AU45" s="319" t="s">
        <v>100</v>
      </c>
      <c r="AV45" s="373">
        <v>0</v>
      </c>
    </row>
    <row r="46" spans="1:48" ht="30" hidden="1" customHeight="1">
      <c r="A46" s="1208" t="s">
        <v>128</v>
      </c>
      <c r="B46" s="1209"/>
      <c r="C46" s="1209"/>
      <c r="D46" s="1209"/>
      <c r="E46" s="1210"/>
      <c r="F46" s="203"/>
      <c r="G46" s="1208" t="s">
        <v>129</v>
      </c>
      <c r="H46" s="1209"/>
      <c r="I46" s="1209"/>
      <c r="J46" s="1209"/>
      <c r="K46" s="1210"/>
      <c r="M46" s="264" t="s">
        <v>130</v>
      </c>
      <c r="N46" s="227" t="s">
        <v>131</v>
      </c>
      <c r="O46" s="227" t="s">
        <v>109</v>
      </c>
      <c r="P46" s="321">
        <f>VLOOKUP($C$40,$S$42:$AU$59,15,FALSE)</f>
        <v>1</v>
      </c>
      <c r="Q46" s="317" t="s">
        <v>122</v>
      </c>
      <c r="S46" s="259"/>
      <c r="T46" s="259"/>
      <c r="U46" s="259"/>
      <c r="V46" s="259"/>
      <c r="W46" s="259"/>
      <c r="X46" s="259"/>
      <c r="Y46" s="259"/>
      <c r="Z46" s="259"/>
    </row>
    <row r="47" spans="1:48" ht="30" hidden="1" customHeight="1">
      <c r="A47" s="211" t="s">
        <v>132</v>
      </c>
      <c r="B47" s="212" t="s">
        <v>133</v>
      </c>
      <c r="C47" s="212" t="s">
        <v>134</v>
      </c>
      <c r="D47" s="213" t="s">
        <v>134</v>
      </c>
      <c r="E47" s="214"/>
      <c r="F47" s="203"/>
      <c r="G47" s="211" t="s">
        <v>135</v>
      </c>
      <c r="H47" s="212" t="s">
        <v>136</v>
      </c>
      <c r="I47" s="251" t="s">
        <v>137</v>
      </c>
      <c r="J47" s="263">
        <f>ROUNDUP(((D61*D79+P47+P52+P54)*J43+P45)/1000,0)</f>
        <v>4810</v>
      </c>
      <c r="K47" s="267" t="s">
        <v>117</v>
      </c>
      <c r="M47" s="264" t="s">
        <v>138</v>
      </c>
      <c r="N47" s="227" t="s">
        <v>139</v>
      </c>
      <c r="O47" s="227" t="s">
        <v>109</v>
      </c>
      <c r="P47" s="321">
        <f>VLOOKUP($C$40,$S$42:$AU$59,19,FALSE)</f>
        <v>14</v>
      </c>
      <c r="Q47" s="317" t="s">
        <v>140</v>
      </c>
      <c r="S47" s="259"/>
      <c r="T47" s="259"/>
      <c r="U47" s="259"/>
      <c r="V47" s="259"/>
      <c r="W47" s="259"/>
      <c r="X47" s="259"/>
      <c r="Y47" s="259"/>
      <c r="Z47" s="259"/>
    </row>
    <row r="48" spans="1:48" ht="55.5" hidden="1" customHeight="1">
      <c r="A48" s="211" t="s">
        <v>141</v>
      </c>
      <c r="B48" s="212" t="s">
        <v>128</v>
      </c>
      <c r="C48" s="212">
        <f>VLOOKUP($C$40,$S$42:$AU$59,22,FALSE)</f>
        <v>10000</v>
      </c>
      <c r="D48" s="215">
        <f>B9</f>
        <v>10000</v>
      </c>
      <c r="E48" s="214" t="s">
        <v>117</v>
      </c>
      <c r="F48" s="203"/>
      <c r="G48" s="264" t="s">
        <v>142</v>
      </c>
      <c r="H48" s="227" t="s">
        <v>143</v>
      </c>
      <c r="I48" s="268" t="s">
        <v>412</v>
      </c>
      <c r="J48" s="269">
        <f>ROUNDUP(D48-P49/P43+P48*J43/1000+P45/1000,0)+IF(D65=0,0,P53)+IF(D65=1,0,D49)</f>
        <v>10028</v>
      </c>
      <c r="K48" s="564" t="s">
        <v>117</v>
      </c>
      <c r="M48" s="264" t="s">
        <v>145</v>
      </c>
      <c r="N48" s="227" t="s">
        <v>146</v>
      </c>
      <c r="O48" s="227" t="s">
        <v>109</v>
      </c>
      <c r="P48" s="321">
        <f>VLOOKUP($C$40,$S$42:$AU$59,16,FALSE)</f>
        <v>3</v>
      </c>
      <c r="Q48" s="317" t="s">
        <v>140</v>
      </c>
      <c r="S48" s="259"/>
      <c r="T48" s="259"/>
      <c r="U48" s="259"/>
      <c r="V48" s="259"/>
      <c r="W48" s="259"/>
      <c r="X48" s="259"/>
      <c r="Y48" s="259"/>
      <c r="Z48" s="259"/>
    </row>
    <row r="49" spans="1:26" ht="30" hidden="1" customHeight="1">
      <c r="A49" s="216" t="s">
        <v>147</v>
      </c>
      <c r="B49" s="217" t="s">
        <v>148</v>
      </c>
      <c r="C49" s="212">
        <v>0</v>
      </c>
      <c r="D49" s="218">
        <f>B19</f>
        <v>0</v>
      </c>
      <c r="E49" s="219" t="s">
        <v>117</v>
      </c>
      <c r="F49" s="203"/>
      <c r="G49" s="264" t="s">
        <v>149</v>
      </c>
      <c r="H49" s="227" t="s">
        <v>150</v>
      </c>
      <c r="I49" s="268" t="s">
        <v>413</v>
      </c>
      <c r="J49" s="269">
        <f>ROUNDUP((1000000/D73)*D72,0)</f>
        <v>0</v>
      </c>
      <c r="K49" s="317" t="s">
        <v>117</v>
      </c>
      <c r="M49" s="264" t="s">
        <v>152</v>
      </c>
      <c r="N49" s="227" t="s">
        <v>153</v>
      </c>
      <c r="O49" s="227" t="s">
        <v>109</v>
      </c>
      <c r="P49" s="321">
        <f>VLOOKUP($C$40,$S$42:$AU$59,17,FALSE)</f>
        <v>119</v>
      </c>
      <c r="Q49" s="317" t="s">
        <v>154</v>
      </c>
      <c r="S49" s="259"/>
      <c r="T49" s="259"/>
      <c r="U49" s="259"/>
      <c r="V49" s="259"/>
      <c r="W49" s="259"/>
      <c r="X49" s="259"/>
      <c r="Y49" s="320"/>
      <c r="Z49" s="259"/>
    </row>
    <row r="50" spans="1:26" ht="60" hidden="1" customHeight="1">
      <c r="A50" s="220" t="s">
        <v>155</v>
      </c>
      <c r="B50" s="221" t="str">
        <f>"交叠曝光时间 
范围:0"&amp;"-"&amp;ROUNDUP(((D61*D79+P47+P52+P54)*J43/1000),0)</f>
        <v>交叠曝光时间 
范围:0-4788</v>
      </c>
      <c r="C50" s="212">
        <f>ROUNDUP((C61+P47+P52+P54)*J43/1000,0)</f>
        <v>4788</v>
      </c>
      <c r="D50" s="222">
        <v>0</v>
      </c>
      <c r="E50" s="219" t="s">
        <v>117</v>
      </c>
      <c r="F50" s="203"/>
      <c r="G50" s="216" t="s">
        <v>156</v>
      </c>
      <c r="H50" s="225" t="s">
        <v>157</v>
      </c>
      <c r="I50" s="225" t="s">
        <v>158</v>
      </c>
      <c r="J50" s="270">
        <f>P85</f>
        <v>4620</v>
      </c>
      <c r="K50" s="324" t="s">
        <v>117</v>
      </c>
      <c r="M50" s="264" t="s">
        <v>159</v>
      </c>
      <c r="N50" s="227" t="s">
        <v>160</v>
      </c>
      <c r="O50" s="227" t="s">
        <v>109</v>
      </c>
      <c r="P50" s="321">
        <f>VLOOKUP($C$40,$S$42:$AU$59,18,FALSE)</f>
        <v>6</v>
      </c>
      <c r="Q50" s="317" t="s">
        <v>140</v>
      </c>
      <c r="S50" s="259" t="s">
        <v>414</v>
      </c>
      <c r="T50" s="259">
        <f>C60*8/J43</f>
        <v>9.4254545454545458</v>
      </c>
      <c r="U50" s="259"/>
      <c r="V50" s="259"/>
      <c r="W50" s="259"/>
      <c r="X50" s="259"/>
      <c r="Y50" s="320"/>
      <c r="Z50" s="259"/>
    </row>
    <row r="51" spans="1:26" ht="87.75" hidden="1" customHeight="1">
      <c r="A51" s="223" t="s">
        <v>161</v>
      </c>
      <c r="B51" s="224" t="s">
        <v>162</v>
      </c>
      <c r="C51" s="225" t="s">
        <v>163</v>
      </c>
      <c r="D51" s="226">
        <v>0</v>
      </c>
      <c r="E51" s="219" t="s">
        <v>117</v>
      </c>
      <c r="F51" s="203"/>
      <c r="G51" s="1208" t="s">
        <v>164</v>
      </c>
      <c r="H51" s="1209"/>
      <c r="I51" s="1209"/>
      <c r="J51" s="1209"/>
      <c r="K51" s="1210"/>
      <c r="M51" s="264" t="s">
        <v>165</v>
      </c>
      <c r="N51" s="227" t="s">
        <v>166</v>
      </c>
      <c r="O51" s="227" t="s">
        <v>109</v>
      </c>
      <c r="P51" s="321">
        <f>VLOOKUP($C$40,$S$42:$AU$59,26,FALSE)</f>
        <v>1</v>
      </c>
      <c r="Q51" s="918" t="s">
        <v>122</v>
      </c>
      <c r="S51" s="259" t="s">
        <v>415</v>
      </c>
      <c r="T51" s="320">
        <f>U51-T52</f>
        <v>14.443451136816911</v>
      </c>
      <c r="U51" s="259">
        <f>25.6*0.74</f>
        <v>18.943999999999999</v>
      </c>
      <c r="V51" s="259"/>
      <c r="W51" s="259"/>
      <c r="X51" s="259"/>
      <c r="Y51" s="320"/>
      <c r="Z51" s="259"/>
    </row>
    <row r="52" spans="1:26" ht="87.75" hidden="1" customHeight="1">
      <c r="A52" s="1211" t="s">
        <v>167</v>
      </c>
      <c r="B52" s="1212"/>
      <c r="C52" s="1212"/>
      <c r="D52" s="1212"/>
      <c r="E52" s="1213"/>
      <c r="F52" s="203"/>
      <c r="G52" s="250" t="s">
        <v>141</v>
      </c>
      <c r="H52" s="251" t="s">
        <v>168</v>
      </c>
      <c r="I52" s="251" t="s">
        <v>169</v>
      </c>
      <c r="J52" s="263">
        <f>IF((D53=1)*(D47="TriggerWidth"),MAX(D50,D51),ROUNDUP((1000*D48-1000*P49/P43)/1000,0))</f>
        <v>9999</v>
      </c>
      <c r="K52" s="267" t="s">
        <v>117</v>
      </c>
      <c r="M52" s="264" t="s">
        <v>170</v>
      </c>
      <c r="N52" s="227" t="s">
        <v>171</v>
      </c>
      <c r="O52" s="217" t="s">
        <v>109</v>
      </c>
      <c r="P52" s="321">
        <f>VLOOKUP($C$40,$S$42:$AU$59,20,FALSE)</f>
        <v>1</v>
      </c>
      <c r="Q52" s="317" t="s">
        <v>140</v>
      </c>
      <c r="S52" s="259" t="s">
        <v>416</v>
      </c>
      <c r="T52" s="259">
        <f>J58*8/1000/1000/1000</f>
        <v>4.5005488631830879</v>
      </c>
      <c r="U52" s="259"/>
      <c r="V52" s="259"/>
      <c r="W52" s="259"/>
      <c r="X52" s="259"/>
      <c r="Y52" s="320"/>
      <c r="Z52" s="259"/>
    </row>
    <row r="53" spans="1:26" ht="87.75" hidden="1" customHeight="1">
      <c r="A53" s="227" t="s">
        <v>172</v>
      </c>
      <c r="B53" s="227" t="s">
        <v>167</v>
      </c>
      <c r="C53" s="227">
        <v>0</v>
      </c>
      <c r="D53" s="228">
        <f>B20</f>
        <v>0</v>
      </c>
      <c r="E53" s="229"/>
      <c r="F53" s="203"/>
      <c r="G53" s="235" t="s">
        <v>173</v>
      </c>
      <c r="H53" s="220" t="s">
        <v>174</v>
      </c>
      <c r="I53" s="220" t="s">
        <v>175</v>
      </c>
      <c r="J53" s="265">
        <f>D49</f>
        <v>0</v>
      </c>
      <c r="K53" s="273" t="s">
        <v>117</v>
      </c>
      <c r="M53" s="264" t="s">
        <v>176</v>
      </c>
      <c r="N53" s="227" t="s">
        <v>177</v>
      </c>
      <c r="O53" s="227" t="s">
        <v>109</v>
      </c>
      <c r="P53" s="321">
        <f>VLOOKUP($C$40,$S$42:$AV$59,30,FALSE)</f>
        <v>0</v>
      </c>
      <c r="Q53" s="317" t="s">
        <v>117</v>
      </c>
      <c r="S53" s="259" t="s">
        <v>417</v>
      </c>
      <c r="T53" s="259">
        <f>T51-T50</f>
        <v>5.0179965913623654</v>
      </c>
      <c r="U53" s="259" t="s">
        <v>418</v>
      </c>
      <c r="V53" s="259"/>
      <c r="W53" s="259"/>
      <c r="X53" s="259"/>
      <c r="Y53" s="320"/>
      <c r="Z53" s="259"/>
    </row>
    <row r="54" spans="1:26" ht="109.5" hidden="1" customHeight="1">
      <c r="A54" s="207" t="s">
        <v>178</v>
      </c>
      <c r="B54" s="208" t="s">
        <v>179</v>
      </c>
      <c r="C54" s="208">
        <v>0</v>
      </c>
      <c r="D54" s="230">
        <v>0</v>
      </c>
      <c r="E54" s="210"/>
      <c r="F54" s="203"/>
      <c r="G54" s="235" t="s">
        <v>180</v>
      </c>
      <c r="H54" s="220" t="s">
        <v>181</v>
      </c>
      <c r="I54" s="220" t="s">
        <v>182</v>
      </c>
      <c r="J54" s="265">
        <f>IF(P51=1,IF((D53=1)*(D47="TriggerWidth"),IF((D50&lt;=ROUNDUP(J43*6/1000,0))*(D50&gt;0),1,0),IF((MAX(J47,J48,J49,J50)-J52)&lt;J47,(IF((MAX(J47,J48,J49,J50)-J52)&gt;=(J47-ROUNDUP(6*J43/1000,0)),1,0)),0)),0)</f>
        <v>0</v>
      </c>
      <c r="K54" s="565" t="s">
        <v>122</v>
      </c>
      <c r="M54" s="276" t="s">
        <v>183</v>
      </c>
      <c r="N54" s="323" t="s">
        <v>184</v>
      </c>
      <c r="O54" s="323" t="s">
        <v>109</v>
      </c>
      <c r="P54" s="314">
        <f>VLOOKUP($C$40,$S$42:$AV$59,28,FALSE)</f>
        <v>1</v>
      </c>
      <c r="Q54" s="312" t="s">
        <v>140</v>
      </c>
      <c r="S54" s="259" t="s">
        <v>419</v>
      </c>
      <c r="T54" s="259">
        <f>T50-T52</f>
        <v>4.9249056822714579</v>
      </c>
      <c r="U54" s="259" t="s">
        <v>420</v>
      </c>
      <c r="V54" s="259"/>
      <c r="W54" s="259"/>
      <c r="X54" s="259"/>
      <c r="Y54" s="320"/>
      <c r="Z54" s="259"/>
    </row>
    <row r="55" spans="1:26" ht="111" hidden="1" customHeight="1">
      <c r="A55" s="1214" t="s">
        <v>185</v>
      </c>
      <c r="B55" s="1215"/>
      <c r="C55" s="1215"/>
      <c r="D55" s="1215"/>
      <c r="E55" s="1216"/>
      <c r="F55" s="203"/>
      <c r="G55" s="238" t="s">
        <v>186</v>
      </c>
      <c r="H55" s="225" t="s">
        <v>187</v>
      </c>
      <c r="I55" s="225" t="s">
        <v>188</v>
      </c>
      <c r="J55" s="277">
        <f>IF(J54=1,IF((D53=1)*(D47="TriggerWidth"),D50,J47-(MAX(J47,J48,J49,J50)-J52)),0)</f>
        <v>0</v>
      </c>
      <c r="K55" s="566" t="s">
        <v>117</v>
      </c>
      <c r="M55" s="1214" t="s">
        <v>189</v>
      </c>
      <c r="N55" s="1215"/>
      <c r="O55" s="1215"/>
      <c r="P55" s="1215"/>
      <c r="Q55" s="1216"/>
      <c r="S55" s="259"/>
      <c r="T55" s="259"/>
      <c r="U55" s="259"/>
      <c r="V55" s="259"/>
      <c r="W55" s="259"/>
      <c r="X55" s="259"/>
      <c r="Y55" s="320"/>
      <c r="Z55" s="259"/>
    </row>
    <row r="56" spans="1:26" ht="111" hidden="1" customHeight="1">
      <c r="A56" s="207" t="s">
        <v>190</v>
      </c>
      <c r="B56" s="208" t="s">
        <v>191</v>
      </c>
      <c r="C56" s="208">
        <v>0</v>
      </c>
      <c r="D56" s="209">
        <v>0</v>
      </c>
      <c r="E56" s="210" t="s">
        <v>117</v>
      </c>
      <c r="F56" s="203"/>
      <c r="G56" s="1214" t="s">
        <v>192</v>
      </c>
      <c r="H56" s="1215"/>
      <c r="I56" s="1215"/>
      <c r="J56" s="1215"/>
      <c r="K56" s="1216"/>
      <c r="M56" s="204" t="s">
        <v>91</v>
      </c>
      <c r="N56" s="205" t="s">
        <v>92</v>
      </c>
      <c r="O56" s="205" t="s">
        <v>93</v>
      </c>
      <c r="P56" s="205" t="s">
        <v>96</v>
      </c>
      <c r="Q56" s="308" t="s">
        <v>95</v>
      </c>
      <c r="S56" s="259"/>
      <c r="T56" s="259"/>
      <c r="U56" s="259"/>
      <c r="V56" s="259"/>
      <c r="W56" s="259"/>
      <c r="X56" s="259"/>
      <c r="Y56" s="336"/>
      <c r="Z56" s="336"/>
    </row>
    <row r="57" spans="1:26" ht="60.75" hidden="1" customHeight="1">
      <c r="A57" s="1214" t="s">
        <v>193</v>
      </c>
      <c r="B57" s="1215"/>
      <c r="C57" s="1215"/>
      <c r="D57" s="1215"/>
      <c r="E57" s="1216"/>
      <c r="F57" s="203"/>
      <c r="G57" s="250" t="s">
        <v>194</v>
      </c>
      <c r="H57" s="251" t="s">
        <v>195</v>
      </c>
      <c r="I57" s="251" t="s">
        <v>196</v>
      </c>
      <c r="J57" s="263">
        <f>J45*P74</f>
        <v>558308735.54048657</v>
      </c>
      <c r="K57" s="279" t="s">
        <v>197</v>
      </c>
      <c r="M57" s="211" t="s">
        <v>198</v>
      </c>
      <c r="N57" s="212" t="s">
        <v>199</v>
      </c>
      <c r="O57" s="212" t="s">
        <v>200</v>
      </c>
      <c r="P57" s="311">
        <v>7</v>
      </c>
      <c r="Q57" s="312" t="s">
        <v>201</v>
      </c>
      <c r="S57" s="259"/>
      <c r="T57" s="259"/>
      <c r="U57" s="259"/>
      <c r="V57" s="259"/>
      <c r="W57" s="259"/>
      <c r="X57" s="259"/>
      <c r="Y57" s="336"/>
      <c r="Z57" s="336"/>
    </row>
    <row r="58" spans="1:26" ht="30" hidden="1" customHeight="1">
      <c r="A58" s="211" t="s">
        <v>202</v>
      </c>
      <c r="B58" s="212" t="s">
        <v>203</v>
      </c>
      <c r="C58" s="212">
        <v>0</v>
      </c>
      <c r="D58" s="215">
        <v>0</v>
      </c>
      <c r="E58" s="234" t="s">
        <v>119</v>
      </c>
      <c r="F58" s="203"/>
      <c r="G58" s="280" t="s">
        <v>204</v>
      </c>
      <c r="H58" s="281" t="s">
        <v>205</v>
      </c>
      <c r="I58" s="220" t="s">
        <v>206</v>
      </c>
      <c r="J58" s="265">
        <f>J45*P81</f>
        <v>562568607.89788592</v>
      </c>
      <c r="K58" s="282" t="s">
        <v>197</v>
      </c>
      <c r="M58" s="264" t="s">
        <v>207</v>
      </c>
      <c r="N58" s="227" t="s">
        <v>208</v>
      </c>
      <c r="O58" s="227" t="s">
        <v>209</v>
      </c>
      <c r="P58" s="321">
        <v>1</v>
      </c>
      <c r="Q58" s="317" t="s">
        <v>201</v>
      </c>
      <c r="S58" s="259"/>
      <c r="T58" s="259"/>
      <c r="U58" s="259"/>
      <c r="V58" s="259"/>
      <c r="W58" s="259"/>
      <c r="X58" s="259"/>
      <c r="Y58" s="336"/>
      <c r="Z58" s="336"/>
    </row>
    <row r="59" spans="1:26" ht="30" hidden="1" customHeight="1">
      <c r="A59" s="235" t="s">
        <v>210</v>
      </c>
      <c r="B59" s="220" t="s">
        <v>211</v>
      </c>
      <c r="C59" s="220">
        <v>0</v>
      </c>
      <c r="D59" s="236">
        <v>0</v>
      </c>
      <c r="E59" s="237" t="s">
        <v>119</v>
      </c>
      <c r="F59" s="203"/>
      <c r="G59" s="283" t="s">
        <v>212</v>
      </c>
      <c r="H59" s="284" t="s">
        <v>213</v>
      </c>
      <c r="I59" s="225" t="s">
        <v>214</v>
      </c>
      <c r="J59" s="277">
        <f>1250*D67*(100-D70)</f>
        <v>1225000000</v>
      </c>
      <c r="K59" s="285" t="s">
        <v>197</v>
      </c>
      <c r="M59" s="264" t="s">
        <v>215</v>
      </c>
      <c r="N59" s="227" t="s">
        <v>216</v>
      </c>
      <c r="O59" s="227" t="s">
        <v>217</v>
      </c>
      <c r="P59" s="321">
        <v>14</v>
      </c>
      <c r="Q59" s="317" t="s">
        <v>201</v>
      </c>
    </row>
    <row r="60" spans="1:26" ht="30" hidden="1" customHeight="1">
      <c r="A60" s="235" t="s">
        <v>218</v>
      </c>
      <c r="B60" s="220" t="s">
        <v>19</v>
      </c>
      <c r="C60" s="220">
        <f>VLOOKUP($C$40,$S$42:$AU$59,23,FALSE)</f>
        <v>2592</v>
      </c>
      <c r="D60" s="236">
        <f>B4</f>
        <v>2592</v>
      </c>
      <c r="E60" s="237" t="s">
        <v>119</v>
      </c>
      <c r="F60" s="203"/>
      <c r="G60" s="1214" t="s">
        <v>219</v>
      </c>
      <c r="H60" s="1215"/>
      <c r="I60" s="1215"/>
      <c r="J60" s="1215"/>
      <c r="K60" s="1216"/>
      <c r="M60" s="264" t="s">
        <v>220</v>
      </c>
      <c r="N60" s="227" t="s">
        <v>221</v>
      </c>
      <c r="O60" s="227" t="s">
        <v>222</v>
      </c>
      <c r="P60" s="321">
        <v>20</v>
      </c>
      <c r="Q60" s="317" t="s">
        <v>201</v>
      </c>
      <c r="R60" s="259"/>
    </row>
    <row r="61" spans="1:26" ht="70.5" hidden="1" customHeight="1">
      <c r="A61" s="238" t="s">
        <v>223</v>
      </c>
      <c r="B61" s="225" t="s">
        <v>20</v>
      </c>
      <c r="C61" s="225">
        <f>VLOOKUP($C$40,$S$42:$AU$59,24,FALSE)</f>
        <v>2160</v>
      </c>
      <c r="D61" s="239">
        <f>B5</f>
        <v>2160</v>
      </c>
      <c r="E61" s="219" t="s">
        <v>119</v>
      </c>
      <c r="F61" s="203"/>
      <c r="G61" s="286" t="s">
        <v>224</v>
      </c>
      <c r="H61" s="287" t="s">
        <v>225</v>
      </c>
      <c r="I61" s="251" t="s">
        <v>226</v>
      </c>
      <c r="J61" s="263">
        <f>IF(D67=10000,0,IF(D67=5000,1,IF(D67=2500,2,IF(D67=1000,3,3))))</f>
        <v>0</v>
      </c>
      <c r="K61" s="279" t="s">
        <v>163</v>
      </c>
      <c r="M61" s="264" t="s">
        <v>227</v>
      </c>
      <c r="N61" s="227" t="s">
        <v>228</v>
      </c>
      <c r="O61" s="227" t="s">
        <v>229</v>
      </c>
      <c r="P61" s="321">
        <v>8</v>
      </c>
      <c r="Q61" s="317" t="s">
        <v>201</v>
      </c>
      <c r="R61" s="259"/>
    </row>
    <row r="62" spans="1:26" ht="45" hidden="1" customHeight="1">
      <c r="A62" s="1214" t="s">
        <v>230</v>
      </c>
      <c r="B62" s="1215"/>
      <c r="C62" s="1215"/>
      <c r="D62" s="1215"/>
      <c r="E62" s="1216"/>
      <c r="F62" s="203"/>
      <c r="G62" s="288" t="s">
        <v>231</v>
      </c>
      <c r="H62" s="289" t="s">
        <v>232</v>
      </c>
      <c r="I62" s="223" t="s">
        <v>233</v>
      </c>
      <c r="J62" s="290">
        <f>ROUNDUP(D69*VLOOKUP($C$40,$S$42:$AU$45,27,FALSE)/1000,0)</f>
        <v>0</v>
      </c>
      <c r="K62" s="291" t="s">
        <v>154</v>
      </c>
      <c r="M62" s="264" t="s">
        <v>234</v>
      </c>
      <c r="N62" s="227" t="s">
        <v>235</v>
      </c>
      <c r="O62" s="227" t="s">
        <v>229</v>
      </c>
      <c r="P62" s="321">
        <v>8</v>
      </c>
      <c r="Q62" s="317" t="s">
        <v>201</v>
      </c>
      <c r="R62" s="259"/>
    </row>
    <row r="63" spans="1:26" ht="45.75" hidden="1" customHeight="1">
      <c r="A63" s="240" t="s">
        <v>236</v>
      </c>
      <c r="B63" s="241" t="s">
        <v>237</v>
      </c>
      <c r="C63" s="242">
        <v>0</v>
      </c>
      <c r="D63" s="243">
        <v>0</v>
      </c>
      <c r="E63" s="244" t="s">
        <v>122</v>
      </c>
      <c r="F63" s="203"/>
      <c r="G63" s="1214" t="s">
        <v>238</v>
      </c>
      <c r="H63" s="1215"/>
      <c r="I63" s="1215"/>
      <c r="J63" s="1215"/>
      <c r="K63" s="1216"/>
      <c r="M63" s="264" t="s">
        <v>239</v>
      </c>
      <c r="N63" s="227" t="s">
        <v>240</v>
      </c>
      <c r="O63" s="227" t="s">
        <v>241</v>
      </c>
      <c r="P63" s="321">
        <v>4</v>
      </c>
      <c r="Q63" s="317" t="s">
        <v>201</v>
      </c>
    </row>
    <row r="64" spans="1:26" ht="48" hidden="1" customHeight="1">
      <c r="A64" s="1214" t="s">
        <v>242</v>
      </c>
      <c r="B64" s="1215"/>
      <c r="C64" s="1215"/>
      <c r="D64" s="1215"/>
      <c r="E64" s="1216"/>
      <c r="F64" s="203"/>
      <c r="G64" s="292" t="s">
        <v>243</v>
      </c>
      <c r="H64" s="293" t="s">
        <v>244</v>
      </c>
      <c r="I64" s="294" t="s">
        <v>245</v>
      </c>
      <c r="J64" s="295">
        <f>IF(ROUNDUP(P88*1000*8/D67,0)&gt;200000000,200000000,ROUNDUP(P88*1000*8/D67,0))</f>
        <v>14175813</v>
      </c>
      <c r="K64" s="296" t="s">
        <v>106</v>
      </c>
      <c r="M64" s="264" t="s">
        <v>246</v>
      </c>
      <c r="N64" s="227" t="s">
        <v>247</v>
      </c>
      <c r="O64" s="227" t="s">
        <v>248</v>
      </c>
      <c r="P64" s="321">
        <v>12</v>
      </c>
      <c r="Q64" s="317" t="s">
        <v>201</v>
      </c>
    </row>
    <row r="65" spans="1:24" ht="69.75" hidden="1" customHeight="1">
      <c r="A65" s="245" t="s">
        <v>249</v>
      </c>
      <c r="B65" s="246" t="s">
        <v>250</v>
      </c>
      <c r="C65" s="247">
        <v>0</v>
      </c>
      <c r="D65" s="248">
        <v>0</v>
      </c>
      <c r="E65" s="249" t="s">
        <v>122</v>
      </c>
      <c r="G65" s="1214" t="s">
        <v>251</v>
      </c>
      <c r="H65" s="1215"/>
      <c r="I65" s="1215"/>
      <c r="J65" s="1215"/>
      <c r="K65" s="1216"/>
      <c r="M65" s="264" t="s">
        <v>252</v>
      </c>
      <c r="N65" s="220" t="s">
        <v>253</v>
      </c>
      <c r="O65" s="227" t="s">
        <v>254</v>
      </c>
      <c r="P65" s="321">
        <f>P60+P61+P62</f>
        <v>36</v>
      </c>
      <c r="Q65" s="317" t="s">
        <v>201</v>
      </c>
      <c r="S65" s="1214" t="s">
        <v>255</v>
      </c>
      <c r="T65" s="1215"/>
      <c r="U65" s="1215"/>
      <c r="V65" s="1215"/>
      <c r="W65" s="1215"/>
      <c r="X65" s="1217"/>
    </row>
    <row r="66" spans="1:24" ht="62.25" hidden="1" customHeight="1">
      <c r="A66" s="1214" t="s">
        <v>256</v>
      </c>
      <c r="B66" s="1215"/>
      <c r="C66" s="1215"/>
      <c r="D66" s="1215"/>
      <c r="E66" s="1216"/>
      <c r="G66" s="292" t="s">
        <v>257</v>
      </c>
      <c r="H66" s="293" t="s">
        <v>251</v>
      </c>
      <c r="I66" s="294" t="s">
        <v>258</v>
      </c>
      <c r="J66" s="295">
        <f>IF((100-ROUNDDOWN(10*P83/(125000*D67),0)-1)&lt;0,0,(100-ROUNDDOWN(10*P83/(125000*D67),0)-1))</f>
        <v>99</v>
      </c>
      <c r="K66" s="296" t="s">
        <v>259</v>
      </c>
      <c r="M66" s="264" t="s">
        <v>260</v>
      </c>
      <c r="N66" s="220" t="s">
        <v>261</v>
      </c>
      <c r="O66" s="227" t="s">
        <v>262</v>
      </c>
      <c r="P66" s="321">
        <f>P57+P58+P59+P63</f>
        <v>26</v>
      </c>
      <c r="Q66" s="317" t="s">
        <v>201</v>
      </c>
      <c r="S66" s="204" t="s">
        <v>263</v>
      </c>
      <c r="T66" s="205" t="s">
        <v>264</v>
      </c>
      <c r="U66" s="205" t="s">
        <v>92</v>
      </c>
      <c r="V66" s="205" t="s">
        <v>93</v>
      </c>
      <c r="W66" s="337" t="s">
        <v>265</v>
      </c>
      <c r="X66" s="206" t="s">
        <v>266</v>
      </c>
    </row>
    <row r="67" spans="1:24" ht="50.25" hidden="1" customHeight="1">
      <c r="A67" s="250" t="s">
        <v>267</v>
      </c>
      <c r="B67" s="251" t="s">
        <v>268</v>
      </c>
      <c r="C67" s="252" t="s">
        <v>122</v>
      </c>
      <c r="D67" s="253">
        <f>B11</f>
        <v>10000</v>
      </c>
      <c r="E67" s="214" t="s">
        <v>269</v>
      </c>
      <c r="G67" s="1214" t="s">
        <v>270</v>
      </c>
      <c r="H67" s="1215"/>
      <c r="I67" s="1215"/>
      <c r="J67" s="1215"/>
      <c r="K67" s="1216"/>
      <c r="M67" s="216" t="s">
        <v>271</v>
      </c>
      <c r="N67" s="217" t="s">
        <v>272</v>
      </c>
      <c r="O67" s="217" t="s">
        <v>273</v>
      </c>
      <c r="P67" s="270">
        <f>64-P59-P63-P65</f>
        <v>10</v>
      </c>
      <c r="Q67" s="324" t="s">
        <v>201</v>
      </c>
      <c r="S67" s="325" t="s">
        <v>274</v>
      </c>
      <c r="T67" s="251" t="str">
        <f>IF(OR(C41="A7",C41="KU3P"),"0x01001004","0x77601654")</f>
        <v>0x01001004</v>
      </c>
      <c r="U67" s="326" t="s">
        <v>275</v>
      </c>
      <c r="V67" s="212" t="s">
        <v>147</v>
      </c>
      <c r="W67" s="338" t="str">
        <f>DEC2HEX(J53)</f>
        <v>0</v>
      </c>
      <c r="X67" s="339"/>
    </row>
    <row r="68" spans="1:24" ht="156" hidden="1" customHeight="1">
      <c r="A68" s="235" t="s">
        <v>276</v>
      </c>
      <c r="B68" s="220" t="s">
        <v>34</v>
      </c>
      <c r="C68" s="254">
        <v>1500</v>
      </c>
      <c r="D68" s="236">
        <f>B18</f>
        <v>8164</v>
      </c>
      <c r="E68" s="237" t="s">
        <v>201</v>
      </c>
      <c r="G68" s="286" t="s">
        <v>277</v>
      </c>
      <c r="H68" s="287" t="s">
        <v>278</v>
      </c>
      <c r="I68" s="251" t="s">
        <v>279</v>
      </c>
      <c r="J68" s="297" t="str">
        <f>IF((D53=1)*(D47="TriggerWidth"),ROUNDUP(J47+MAX(D50,D51)-(D50-P48*J43/1000)*(D50&gt;ROUNDUP(6*J43/1000,0)),0),"null")</f>
        <v>null</v>
      </c>
      <c r="K68" s="298" t="s">
        <v>117</v>
      </c>
      <c r="M68" s="1214" t="s">
        <v>280</v>
      </c>
      <c r="N68" s="1215"/>
      <c r="O68" s="1215"/>
      <c r="P68" s="1215"/>
      <c r="Q68" s="1216"/>
      <c r="S68" s="327" t="s">
        <v>281</v>
      </c>
      <c r="T68" s="220" t="str">
        <f>IF(OR(C41="A7",C41="KU3P"),"0x01001008","0x77601658")</f>
        <v>0x01001008</v>
      </c>
      <c r="U68" s="328" t="s">
        <v>282</v>
      </c>
      <c r="V68" s="227" t="s">
        <v>141</v>
      </c>
      <c r="W68" s="340" t="str">
        <f>DEC2HEX(J52)</f>
        <v>270F</v>
      </c>
      <c r="X68" s="341"/>
    </row>
    <row r="69" spans="1:24" ht="84.75" hidden="1" customHeight="1">
      <c r="A69" s="235" t="str">
        <f>"流通道包间隔 
范围:0"&amp;"-"&amp;J64</f>
        <v>流通道包间隔 
范围:0-14175813</v>
      </c>
      <c r="B69" s="220" t="s">
        <v>32</v>
      </c>
      <c r="C69" s="254">
        <v>0</v>
      </c>
      <c r="D69" s="236">
        <f>B16</f>
        <v>0</v>
      </c>
      <c r="E69" s="237" t="s">
        <v>106</v>
      </c>
      <c r="G69" s="288" t="s">
        <v>283</v>
      </c>
      <c r="H69" s="289" t="s">
        <v>284</v>
      </c>
      <c r="I69" s="223" t="s">
        <v>285</v>
      </c>
      <c r="J69" s="299" t="str">
        <f>IF((D53=1)*(D47="TriggerWidth"),MAX(D50,D51)+P49/P43,"null")</f>
        <v>null</v>
      </c>
      <c r="K69" s="291" t="s">
        <v>117</v>
      </c>
      <c r="M69" s="204" t="s">
        <v>91</v>
      </c>
      <c r="N69" s="205" t="s">
        <v>92</v>
      </c>
      <c r="O69" s="205" t="s">
        <v>93</v>
      </c>
      <c r="P69" s="205" t="s">
        <v>96</v>
      </c>
      <c r="Q69" s="308" t="s">
        <v>95</v>
      </c>
      <c r="S69" s="327" t="s">
        <v>286</v>
      </c>
      <c r="T69" s="220" t="str">
        <f>IF(OR(C41="A7",C41="KU3P"),"0x01001010","0x7760165c")</f>
        <v>0x01001010</v>
      </c>
      <c r="U69" s="328" t="s">
        <v>287</v>
      </c>
      <c r="V69" s="227" t="s">
        <v>114</v>
      </c>
      <c r="W69" s="340" t="str">
        <f>DEC2HEX(MAX(J47,J48,J49,J50))</f>
        <v>272C</v>
      </c>
      <c r="X69" s="341"/>
    </row>
    <row r="70" spans="1:24" ht="57" hidden="1" customHeight="1">
      <c r="A70" s="238" t="str">
        <f>"预留带宽 
范围:0-"&amp;J66</f>
        <v>预留带宽 
范围:0-99</v>
      </c>
      <c r="B70" s="225" t="s">
        <v>30</v>
      </c>
      <c r="C70" s="257">
        <v>2</v>
      </c>
      <c r="D70" s="239">
        <f>B14</f>
        <v>2</v>
      </c>
      <c r="E70" s="219" t="s">
        <v>259</v>
      </c>
      <c r="M70" s="211" t="s">
        <v>288</v>
      </c>
      <c r="N70" s="251" t="s">
        <v>289</v>
      </c>
      <c r="O70" s="212" t="s">
        <v>290</v>
      </c>
      <c r="P70" s="311">
        <f>36</f>
        <v>36</v>
      </c>
      <c r="Q70" s="312" t="s">
        <v>201</v>
      </c>
      <c r="S70" s="327" t="s">
        <v>291</v>
      </c>
      <c r="T70" s="220" t="str">
        <f>IF(OR(C41="A7",C41="KU3P"),"0x01001014","0x77601850")</f>
        <v>0x01001014</v>
      </c>
      <c r="U70" s="328" t="s">
        <v>292</v>
      </c>
      <c r="V70" s="227" t="s">
        <v>114</v>
      </c>
      <c r="W70" s="340" t="str">
        <f>IF(D47="TriggerWidth",DEC2HEX(MAX(J47,J49)),IF(D54=0,DEC2HEX(MAX(J47,J48,IF(D65=1,0,J49))),DEC2HEX(MAX(J47,J48,IF(D65=1,0,J49),J50))))</f>
        <v>272C</v>
      </c>
      <c r="X70" s="341"/>
    </row>
    <row r="71" spans="1:24" ht="75.75" hidden="1" customHeight="1">
      <c r="A71" s="1214" t="s">
        <v>293</v>
      </c>
      <c r="B71" s="1215"/>
      <c r="C71" s="1215"/>
      <c r="D71" s="1215"/>
      <c r="E71" s="1216"/>
      <c r="M71" s="264" t="s">
        <v>294</v>
      </c>
      <c r="N71" s="220" t="s">
        <v>295</v>
      </c>
      <c r="O71" s="227" t="s">
        <v>296</v>
      </c>
      <c r="P71" s="321">
        <v>10</v>
      </c>
      <c r="Q71" s="317" t="s">
        <v>201</v>
      </c>
      <c r="S71" s="327" t="s">
        <v>297</v>
      </c>
      <c r="T71" s="220" t="str">
        <f>IF(OR(C41="A7",C41="KU3P"),"0x01001018","待定")</f>
        <v>0x01001018</v>
      </c>
      <c r="U71" s="328" t="s">
        <v>298</v>
      </c>
      <c r="V71" s="220" t="s">
        <v>114</v>
      </c>
      <c r="W71" s="340" t="str">
        <f>DEC2HEX(MAX(J47,J48))</f>
        <v>272C</v>
      </c>
      <c r="X71" s="341"/>
    </row>
    <row r="72" spans="1:24" ht="50.1" hidden="1" customHeight="1">
      <c r="A72" s="211" t="s">
        <v>299</v>
      </c>
      <c r="B72" s="212" t="s">
        <v>300</v>
      </c>
      <c r="C72" s="212">
        <v>0</v>
      </c>
      <c r="D72" s="215">
        <f>B12</f>
        <v>0</v>
      </c>
      <c r="E72" s="234" t="s">
        <v>122</v>
      </c>
      <c r="M72" s="305" t="s">
        <v>301</v>
      </c>
      <c r="N72" s="329" t="s">
        <v>302</v>
      </c>
      <c r="O72" s="329" t="s">
        <v>303</v>
      </c>
      <c r="P72" s="265">
        <v>60</v>
      </c>
      <c r="Q72" s="282" t="s">
        <v>201</v>
      </c>
      <c r="S72" s="327" t="s">
        <v>304</v>
      </c>
      <c r="T72" s="220" t="str">
        <f>IF(OR(C41="A7",C41="KU3P"),"0x0100100C","0x7760185C")</f>
        <v>0x0100100C</v>
      </c>
      <c r="U72" s="328" t="s">
        <v>305</v>
      </c>
      <c r="V72" s="227" t="s">
        <v>135</v>
      </c>
      <c r="W72" s="340" t="str">
        <f>DEC2HEX(J47)</f>
        <v>12CA</v>
      </c>
      <c r="X72" s="341"/>
    </row>
    <row r="73" spans="1:24" ht="75" hidden="1" customHeight="1">
      <c r="A73" s="216" t="s">
        <v>293</v>
      </c>
      <c r="B73" s="217" t="s">
        <v>306</v>
      </c>
      <c r="C73" s="217">
        <f>VLOOKUP($C$40,$S$42:$AU$59,25,FALSE)</f>
        <v>200</v>
      </c>
      <c r="D73" s="218">
        <f>B13</f>
        <v>207</v>
      </c>
      <c r="E73" s="258" t="s">
        <v>125</v>
      </c>
      <c r="M73" s="235" t="s">
        <v>307</v>
      </c>
      <c r="N73" s="220" t="s">
        <v>308</v>
      </c>
      <c r="O73" s="220" t="s">
        <v>309</v>
      </c>
      <c r="P73" s="265">
        <f>D60*D61*IF(D45=8,1,2)</f>
        <v>5598720</v>
      </c>
      <c r="Q73" s="317" t="s">
        <v>201</v>
      </c>
      <c r="S73" s="330" t="s">
        <v>310</v>
      </c>
      <c r="T73" s="220" t="str">
        <f>IF(OR(C41="A7",C41="KU3P"),"0x0100101C","0x77601860")</f>
        <v>0x0100101C</v>
      </c>
      <c r="U73" s="328" t="s">
        <v>311</v>
      </c>
      <c r="V73" s="227" t="s">
        <v>312</v>
      </c>
      <c r="W73" s="342" t="str">
        <f>DEC2HEX(IF(P51=1,ROUNDUP(6*J43/1000,0),0))</f>
        <v>E</v>
      </c>
      <c r="X73" s="341"/>
    </row>
    <row r="74" spans="1:24" ht="43.5" hidden="1" customHeight="1">
      <c r="A74" s="1214" t="s">
        <v>313</v>
      </c>
      <c r="B74" s="1215"/>
      <c r="C74" s="1215"/>
      <c r="D74" s="1215"/>
      <c r="E74" s="1216"/>
      <c r="G74" s="1218"/>
      <c r="H74" s="1218"/>
      <c r="I74" s="1218"/>
      <c r="J74" s="1218"/>
      <c r="K74" s="1218"/>
      <c r="M74" s="264" t="s">
        <v>314</v>
      </c>
      <c r="N74" s="220" t="s">
        <v>315</v>
      </c>
      <c r="O74" s="220" t="s">
        <v>316</v>
      </c>
      <c r="P74" s="321">
        <f>P73+P72*D63</f>
        <v>5598720</v>
      </c>
      <c r="Q74" s="317" t="s">
        <v>201</v>
      </c>
      <c r="S74" s="330" t="s">
        <v>317</v>
      </c>
      <c r="T74" s="220" t="str">
        <f>IF(OR(C41="A7",C41="KU3P"),"0x01100000","0x77601500")</f>
        <v>0x01100000</v>
      </c>
      <c r="U74" s="328" t="s">
        <v>318</v>
      </c>
      <c r="V74" s="220" t="s">
        <v>122</v>
      </c>
      <c r="W74" s="340" t="s">
        <v>319</v>
      </c>
      <c r="X74" s="341"/>
    </row>
    <row r="75" spans="1:24" ht="60" hidden="1" customHeight="1">
      <c r="A75" s="211" t="s">
        <v>320</v>
      </c>
      <c r="B75" s="212" t="s">
        <v>321</v>
      </c>
      <c r="C75" s="212">
        <v>1</v>
      </c>
      <c r="D75" s="215">
        <f>B7</f>
        <v>1</v>
      </c>
      <c r="E75" s="234" t="s">
        <v>122</v>
      </c>
      <c r="G75" s="569"/>
      <c r="H75" s="570"/>
      <c r="I75" s="336"/>
      <c r="J75" s="336"/>
      <c r="K75" s="336"/>
      <c r="M75" s="264" t="s">
        <v>322</v>
      </c>
      <c r="N75" s="220" t="s">
        <v>323</v>
      </c>
      <c r="O75" s="227" t="s">
        <v>324</v>
      </c>
      <c r="P75" s="331">
        <f>INT(P74/(D68-P65))</f>
        <v>688</v>
      </c>
      <c r="Q75" s="317" t="s">
        <v>421</v>
      </c>
      <c r="S75" s="332" t="s">
        <v>325</v>
      </c>
      <c r="T75" s="220" t="str">
        <f>IF(OR(C41="A7",C41="KU3P"),"0x01100010","0x7760147C")</f>
        <v>0x01100010</v>
      </c>
      <c r="U75" s="571" t="s">
        <v>326</v>
      </c>
      <c r="V75" s="217" t="s">
        <v>327</v>
      </c>
      <c r="W75" s="345" t="str">
        <f>DEC2HEX(ROUNDUP(J43*P43/1000,0)-D60/VLOOKUP($C$40,$S$42:$AU$59,5,FALSE)/VLOOKUP($C$40,$S$42:$AU$59,6,FALSE))</f>
        <v>2E</v>
      </c>
      <c r="X75" s="341"/>
    </row>
    <row r="76" spans="1:24" ht="126.75" hidden="1" customHeight="1">
      <c r="A76" s="216" t="s">
        <v>328</v>
      </c>
      <c r="B76" s="217" t="s">
        <v>329</v>
      </c>
      <c r="C76" s="217">
        <v>1</v>
      </c>
      <c r="D76" s="218">
        <f>B8</f>
        <v>1</v>
      </c>
      <c r="E76" s="258" t="s">
        <v>122</v>
      </c>
      <c r="M76" s="264" t="s">
        <v>330</v>
      </c>
      <c r="N76" s="220" t="s">
        <v>331</v>
      </c>
      <c r="O76" s="227" t="s">
        <v>332</v>
      </c>
      <c r="P76" s="331">
        <f>P74-(D68-P65)*P75</f>
        <v>6656</v>
      </c>
      <c r="Q76" s="317" t="s">
        <v>201</v>
      </c>
      <c r="S76" s="330" t="s">
        <v>333</v>
      </c>
      <c r="T76" s="220" t="s">
        <v>334</v>
      </c>
      <c r="U76" s="220" t="s">
        <v>335</v>
      </c>
      <c r="V76" s="220" t="s">
        <v>336</v>
      </c>
      <c r="W76" s="342" t="str">
        <f>"0x"&amp;DEC2HEX(D68-P65)</f>
        <v>0x1FC0</v>
      </c>
      <c r="X76" s="343" t="s">
        <v>337</v>
      </c>
    </row>
    <row r="77" spans="1:24" ht="30" hidden="1" customHeight="1">
      <c r="A77" s="1214" t="s">
        <v>338</v>
      </c>
      <c r="B77" s="1215"/>
      <c r="C77" s="1215"/>
      <c r="D77" s="1215"/>
      <c r="E77" s="1216"/>
      <c r="M77" s="264" t="s">
        <v>339</v>
      </c>
      <c r="N77" s="220" t="s">
        <v>340</v>
      </c>
      <c r="O77" s="227" t="s">
        <v>341</v>
      </c>
      <c r="P77" s="321">
        <f>IF(MOD(P73,(D68-P65))=0,0,1)</f>
        <v>1</v>
      </c>
      <c r="Q77" s="317" t="s">
        <v>421</v>
      </c>
      <c r="S77" s="330" t="s">
        <v>342</v>
      </c>
      <c r="T77" s="220" t="s">
        <v>343</v>
      </c>
      <c r="U77" s="220" t="s">
        <v>344</v>
      </c>
      <c r="V77" s="220" t="s">
        <v>345</v>
      </c>
      <c r="W77" s="342" t="str">
        <f>"0x"&amp;DEC2HEX(J62)</f>
        <v>0x0</v>
      </c>
      <c r="X77" s="1226" t="s">
        <v>346</v>
      </c>
    </row>
    <row r="78" spans="1:24" ht="99.75" hidden="1" customHeight="1">
      <c r="A78" s="211" t="s">
        <v>347</v>
      </c>
      <c r="B78" s="212" t="s">
        <v>348</v>
      </c>
      <c r="C78" s="212">
        <v>1</v>
      </c>
      <c r="D78" s="215">
        <f>B6</f>
        <v>1</v>
      </c>
      <c r="E78" s="234" t="s">
        <v>122</v>
      </c>
      <c r="M78" s="264" t="s">
        <v>349</v>
      </c>
      <c r="N78" s="220" t="s">
        <v>350</v>
      </c>
      <c r="O78" s="227" t="s">
        <v>351</v>
      </c>
      <c r="P78" s="331">
        <f>IF(P76&lt;P67,P67,P76)</f>
        <v>6656</v>
      </c>
      <c r="Q78" s="317" t="s">
        <v>201</v>
      </c>
      <c r="S78" s="332" t="s">
        <v>352</v>
      </c>
      <c r="T78" s="225" t="s">
        <v>353</v>
      </c>
      <c r="U78" s="225" t="s">
        <v>354</v>
      </c>
      <c r="V78" s="225" t="s">
        <v>355</v>
      </c>
      <c r="W78" s="345" t="str">
        <f>"0x"&amp;DEC2HEX(J61)</f>
        <v>0x0</v>
      </c>
      <c r="X78" s="1227"/>
    </row>
    <row r="79" spans="1:24" ht="30" hidden="1" customHeight="1">
      <c r="A79" s="216" t="s">
        <v>356</v>
      </c>
      <c r="B79" s="217" t="s">
        <v>357</v>
      </c>
      <c r="C79" s="217">
        <v>1</v>
      </c>
      <c r="D79" s="218">
        <v>1</v>
      </c>
      <c r="E79" s="258" t="s">
        <v>122</v>
      </c>
      <c r="M79" s="264" t="s">
        <v>358</v>
      </c>
      <c r="N79" s="220" t="s">
        <v>359</v>
      </c>
      <c r="O79" s="227" t="s">
        <v>360</v>
      </c>
      <c r="P79" s="331">
        <f>P66+P65+P70</f>
        <v>98</v>
      </c>
      <c r="Q79" s="317" t="s">
        <v>201</v>
      </c>
      <c r="S79" s="330" t="s">
        <v>361</v>
      </c>
      <c r="T79" s="220" t="s">
        <v>362</v>
      </c>
      <c r="U79" s="220" t="s">
        <v>363</v>
      </c>
      <c r="V79" s="220" t="s">
        <v>364</v>
      </c>
      <c r="W79" s="220" t="str">
        <f>"0x"&amp;DEC2HEX(D50)</f>
        <v>0x0</v>
      </c>
      <c r="X79" s="572"/>
    </row>
    <row r="80" spans="1:24" ht="30" hidden="1" customHeight="1">
      <c r="A80" s="1219" t="s">
        <v>365</v>
      </c>
      <c r="B80" s="1220"/>
      <c r="C80" s="1220"/>
      <c r="D80" s="1220"/>
      <c r="E80" s="1221"/>
      <c r="M80" s="264" t="s">
        <v>366</v>
      </c>
      <c r="N80" s="220" t="s">
        <v>367</v>
      </c>
      <c r="O80" s="227" t="s">
        <v>368</v>
      </c>
      <c r="P80" s="331">
        <f>P66+P65+P71</f>
        <v>72</v>
      </c>
      <c r="Q80" s="317" t="s">
        <v>201</v>
      </c>
      <c r="S80" s="386" t="s">
        <v>369</v>
      </c>
      <c r="T80" s="223" t="s">
        <v>370</v>
      </c>
      <c r="U80" s="223" t="s">
        <v>371</v>
      </c>
      <c r="V80" s="223" t="s">
        <v>372</v>
      </c>
      <c r="W80" s="223" t="str">
        <f>"0x"&amp;IF((D53=1)*(D47="TriggerWidth"),1,0)</f>
        <v>0x0</v>
      </c>
      <c r="X80" s="573"/>
    </row>
    <row r="81" spans="1:17" ht="52.5" hidden="1" customHeight="1">
      <c r="A81" s="374" t="s">
        <v>58</v>
      </c>
      <c r="B81" s="1222" t="s">
        <v>373</v>
      </c>
      <c r="C81" s="1222"/>
      <c r="D81" s="1223">
        <f>J45</f>
        <v>99.720781810929395</v>
      </c>
      <c r="E81" s="1224"/>
      <c r="M81" s="264" t="s">
        <v>374</v>
      </c>
      <c r="N81" s="220" t="s">
        <v>375</v>
      </c>
      <c r="O81" s="227" t="s">
        <v>376</v>
      </c>
      <c r="P81" s="331">
        <f>P75*(D68+P66)+P77*(P78+P66+P65)</f>
        <v>5641438</v>
      </c>
      <c r="Q81" s="317" t="s">
        <v>201</v>
      </c>
    </row>
    <row r="82" spans="1:17" ht="66.75" hidden="1" customHeight="1">
      <c r="M82" s="235" t="s">
        <v>377</v>
      </c>
      <c r="N82" s="220" t="s">
        <v>378</v>
      </c>
      <c r="O82" s="220" t="s">
        <v>379</v>
      </c>
      <c r="P82" s="390">
        <f>(2+P77+P75)*P87</f>
        <v>13820</v>
      </c>
      <c r="Q82" s="282" t="s">
        <v>201</v>
      </c>
    </row>
    <row r="83" spans="1:17" ht="45" hidden="1" customHeight="1">
      <c r="M83" s="235" t="s">
        <v>380</v>
      </c>
      <c r="N83" s="220" t="s">
        <v>381</v>
      </c>
      <c r="O83" s="220" t="s">
        <v>382</v>
      </c>
      <c r="P83" s="265">
        <f>P79+P80+P81+P82</f>
        <v>5655428</v>
      </c>
      <c r="Q83" s="282" t="s">
        <v>201</v>
      </c>
    </row>
    <row r="84" spans="1:17" ht="45" hidden="1" customHeight="1">
      <c r="I84" s="203"/>
      <c r="M84" s="235" t="s">
        <v>383</v>
      </c>
      <c r="N84" s="220" t="s">
        <v>384</v>
      </c>
      <c r="O84" s="220" t="s">
        <v>385</v>
      </c>
      <c r="P84" s="265">
        <f>INT(1000000*D67*(100-D70)/80)</f>
        <v>12250000000</v>
      </c>
      <c r="Q84" s="282" t="s">
        <v>386</v>
      </c>
    </row>
    <row r="85" spans="1:17" ht="45" hidden="1" customHeight="1">
      <c r="M85" s="238" t="s">
        <v>387</v>
      </c>
      <c r="N85" s="225" t="s">
        <v>388</v>
      </c>
      <c r="O85" s="225" t="s">
        <v>389</v>
      </c>
      <c r="P85" s="277">
        <f>ROUNDUP(P83*1000000/P84,0)*10</f>
        <v>4620</v>
      </c>
      <c r="Q85" s="219" t="s">
        <v>117</v>
      </c>
    </row>
    <row r="86" spans="1:17" ht="60" hidden="1" customHeight="1">
      <c r="M86" s="1214" t="s">
        <v>390</v>
      </c>
      <c r="N86" s="1215"/>
      <c r="O86" s="1215"/>
      <c r="P86" s="1215"/>
      <c r="Q86" s="1216"/>
    </row>
    <row r="87" spans="1:17" ht="78" hidden="1" customHeight="1">
      <c r="M87" s="280" t="s">
        <v>391</v>
      </c>
      <c r="N87" s="391" t="s">
        <v>392</v>
      </c>
      <c r="O87" s="220" t="s">
        <v>393</v>
      </c>
      <c r="P87" s="265">
        <f>MAX(ROUNDUP(D69*D67/1000/8,0),P64+8)</f>
        <v>20</v>
      </c>
      <c r="Q87" s="282" t="s">
        <v>394</v>
      </c>
    </row>
    <row r="88" spans="1:17" ht="71.25" hidden="1" customHeight="1">
      <c r="M88" s="288" t="s">
        <v>395</v>
      </c>
      <c r="N88" s="289" t="s">
        <v>396</v>
      </c>
      <c r="O88" s="223" t="s">
        <v>397</v>
      </c>
      <c r="P88" s="290">
        <f>ROUNDDOWN((P84-(P81+P80+P79))/(P75+P77+2),0)</f>
        <v>17719766</v>
      </c>
      <c r="Q88" s="291" t="s">
        <v>394</v>
      </c>
    </row>
    <row r="89" spans="1:17" ht="30" hidden="1" customHeight="1"/>
    <row r="90" spans="1:17" ht="45" hidden="1" customHeight="1"/>
    <row r="92" spans="1:17" ht="45" customHeight="1"/>
    <row r="93" spans="1:17" ht="60" customHeight="1"/>
    <row r="115" spans="1:9" ht="30" customHeight="1">
      <c r="G115" s="384"/>
      <c r="H115" s="1225"/>
      <c r="I115" s="1225"/>
    </row>
    <row r="116" spans="1:9" ht="30" customHeight="1">
      <c r="G116" s="384"/>
      <c r="H116" s="384"/>
      <c r="I116" s="384"/>
    </row>
    <row r="117" spans="1:9" ht="30" customHeight="1">
      <c r="G117" s="384"/>
      <c r="H117" s="384"/>
      <c r="I117" s="384"/>
    </row>
    <row r="118" spans="1:9" ht="30" customHeight="1">
      <c r="G118" s="384"/>
      <c r="H118" s="384"/>
      <c r="I118" s="384"/>
    </row>
    <row r="119" spans="1:9" ht="30" customHeight="1">
      <c r="G119" s="384"/>
      <c r="H119" s="384"/>
      <c r="I119" s="384"/>
    </row>
    <row r="120" spans="1:9" ht="30" customHeight="1">
      <c r="G120" s="384"/>
      <c r="H120" s="1225"/>
      <c r="I120" s="1225"/>
    </row>
    <row r="121" spans="1:9" ht="30" customHeight="1">
      <c r="F121" s="385"/>
      <c r="G121" s="384"/>
      <c r="H121" s="384"/>
      <c r="I121" s="384"/>
    </row>
    <row r="122" spans="1:9" ht="30" customHeight="1">
      <c r="A122" s="384"/>
      <c r="B122" s="384"/>
      <c r="C122" s="384"/>
      <c r="D122" s="384"/>
      <c r="F122" s="384"/>
      <c r="G122" s="384"/>
      <c r="H122" s="384"/>
      <c r="I122" s="384"/>
    </row>
    <row r="123" spans="1:9" ht="30" customHeight="1">
      <c r="A123" s="384"/>
      <c r="B123" s="384"/>
      <c r="C123" s="384"/>
      <c r="D123" s="384"/>
      <c r="F123" s="384"/>
      <c r="G123" s="384"/>
      <c r="H123" s="384"/>
      <c r="I123" s="384"/>
    </row>
    <row r="124" spans="1:9" ht="30" customHeight="1">
      <c r="A124" s="384"/>
      <c r="B124" s="384"/>
      <c r="C124" s="384"/>
      <c r="D124" s="384"/>
      <c r="F124" s="384"/>
      <c r="G124" s="384"/>
      <c r="H124" s="384"/>
      <c r="I124" s="384"/>
    </row>
    <row r="125" spans="1:9" ht="30" customHeight="1">
      <c r="A125" s="384"/>
      <c r="B125" s="384"/>
      <c r="C125" s="384"/>
      <c r="D125" s="384"/>
      <c r="E125" s="385"/>
      <c r="F125" s="384"/>
      <c r="G125" s="384"/>
      <c r="H125" s="1225"/>
      <c r="I125" s="1225"/>
    </row>
    <row r="126" spans="1:9" ht="30" customHeight="1">
      <c r="A126" s="384"/>
      <c r="B126" s="384"/>
      <c r="C126" s="384"/>
      <c r="D126" s="384"/>
      <c r="E126" s="384"/>
      <c r="F126" s="384"/>
      <c r="G126" s="384"/>
      <c r="H126" s="384"/>
      <c r="I126" s="384"/>
    </row>
    <row r="127" spans="1:9" ht="30" customHeight="1">
      <c r="A127" s="384"/>
      <c r="B127" s="384"/>
      <c r="C127" s="384"/>
      <c r="D127" s="384"/>
      <c r="E127" s="384"/>
      <c r="F127" s="384"/>
      <c r="G127" s="384"/>
      <c r="H127" s="384"/>
      <c r="I127" s="384"/>
    </row>
    <row r="128" spans="1:9" ht="30" customHeight="1">
      <c r="A128" s="384"/>
      <c r="B128" s="384"/>
      <c r="C128" s="384"/>
      <c r="D128" s="384"/>
      <c r="E128" s="384"/>
      <c r="F128" s="384"/>
      <c r="G128" s="384"/>
      <c r="H128" s="384"/>
      <c r="I128" s="384"/>
    </row>
    <row r="129" spans="1:9" ht="30" customHeight="1">
      <c r="A129" s="385"/>
      <c r="B129" s="385"/>
      <c r="C129" s="384"/>
      <c r="D129" s="384"/>
      <c r="E129" s="384"/>
      <c r="F129" s="384"/>
      <c r="G129" s="384"/>
      <c r="H129" s="384"/>
      <c r="I129" s="384"/>
    </row>
    <row r="130" spans="1:9" ht="30" customHeight="1">
      <c r="A130" s="384"/>
      <c r="B130" s="385"/>
      <c r="C130" s="384"/>
      <c r="D130" s="384"/>
      <c r="E130" s="384"/>
      <c r="F130" s="384"/>
      <c r="G130" s="384"/>
      <c r="H130" s="384"/>
      <c r="I130" s="384"/>
    </row>
    <row r="131" spans="1:9" ht="30" customHeight="1">
      <c r="A131" s="384"/>
      <c r="B131" s="385"/>
      <c r="C131" s="384"/>
      <c r="D131" s="384"/>
      <c r="E131" s="384"/>
      <c r="F131" s="384"/>
      <c r="G131" s="384"/>
      <c r="H131" s="384"/>
      <c r="I131" s="384"/>
    </row>
    <row r="132" spans="1:9" ht="30" customHeight="1">
      <c r="A132" s="384"/>
      <c r="B132" s="384"/>
      <c r="C132" s="384"/>
      <c r="D132" s="384"/>
      <c r="E132" s="384"/>
      <c r="F132" s="384"/>
      <c r="G132" s="384"/>
      <c r="H132" s="384"/>
      <c r="I132" s="384"/>
    </row>
    <row r="133" spans="1:9" ht="30" customHeight="1">
      <c r="A133" s="384"/>
      <c r="B133" s="384"/>
      <c r="C133" s="384"/>
      <c r="D133" s="384"/>
      <c r="E133" s="384"/>
      <c r="F133" s="384"/>
      <c r="G133" s="384"/>
      <c r="H133" s="384"/>
      <c r="I133" s="384"/>
    </row>
    <row r="134" spans="1:9" ht="30" customHeight="1">
      <c r="A134" s="384"/>
      <c r="B134" s="384"/>
      <c r="C134" s="384"/>
      <c r="D134" s="384"/>
      <c r="E134" s="384"/>
      <c r="F134" s="384"/>
      <c r="G134" s="384"/>
      <c r="H134" s="384"/>
      <c r="I134" s="384"/>
    </row>
    <row r="135" spans="1:9" ht="30" customHeight="1">
      <c r="A135" s="384"/>
      <c r="B135" s="384"/>
      <c r="C135" s="384"/>
      <c r="D135" s="384"/>
      <c r="E135" s="384"/>
      <c r="F135" s="384"/>
      <c r="G135" s="384"/>
      <c r="H135" s="384"/>
      <c r="I135" s="384"/>
    </row>
    <row r="136" spans="1:9" ht="30" customHeight="1">
      <c r="A136" s="384"/>
      <c r="B136" s="384"/>
      <c r="C136" s="384"/>
      <c r="D136" s="384"/>
      <c r="E136" s="384"/>
      <c r="F136" s="384"/>
      <c r="G136" s="384"/>
      <c r="H136" s="384"/>
      <c r="I136" s="384"/>
    </row>
    <row r="137" spans="1:9" ht="30" customHeight="1">
      <c r="A137" s="384"/>
      <c r="B137" s="384"/>
      <c r="C137" s="384"/>
      <c r="D137" s="384"/>
      <c r="E137" s="384"/>
      <c r="F137" s="384"/>
      <c r="G137" s="384"/>
      <c r="H137" s="384"/>
      <c r="I137" s="384"/>
    </row>
    <row r="138" spans="1:9" ht="30" customHeight="1">
      <c r="A138" s="384"/>
      <c r="B138" s="384"/>
      <c r="C138" s="384"/>
      <c r="D138" s="384"/>
      <c r="E138" s="384"/>
      <c r="F138" s="384"/>
      <c r="G138" s="384"/>
      <c r="H138" s="384"/>
      <c r="I138" s="384"/>
    </row>
    <row r="139" spans="1:9" ht="30" customHeight="1">
      <c r="A139" s="384"/>
      <c r="B139" s="384"/>
      <c r="C139" s="384"/>
      <c r="D139" s="384"/>
      <c r="E139" s="384"/>
      <c r="F139" s="384"/>
      <c r="G139" s="384"/>
      <c r="H139" s="384"/>
      <c r="I139" s="384"/>
    </row>
    <row r="140" spans="1:9" ht="30" customHeight="1">
      <c r="A140" s="384"/>
      <c r="B140" s="384"/>
      <c r="C140" s="384"/>
      <c r="D140" s="384"/>
      <c r="E140" s="384"/>
      <c r="F140" s="384"/>
    </row>
    <row r="141" spans="1:9" ht="30" customHeight="1">
      <c r="A141" s="384"/>
      <c r="B141" s="384"/>
      <c r="C141" s="384"/>
      <c r="D141" s="384"/>
      <c r="E141" s="384"/>
      <c r="F141" s="384"/>
    </row>
    <row r="142" spans="1:9" ht="30" customHeight="1">
      <c r="A142" s="384"/>
      <c r="B142" s="384"/>
      <c r="C142" s="384"/>
      <c r="D142" s="384"/>
      <c r="E142" s="384"/>
      <c r="F142" s="384"/>
    </row>
    <row r="143" spans="1:9" ht="30" customHeight="1">
      <c r="A143" s="384"/>
      <c r="B143" s="384"/>
      <c r="C143" s="384"/>
      <c r="D143" s="384"/>
      <c r="E143" s="384"/>
      <c r="F143" s="384"/>
    </row>
    <row r="144" spans="1:9" ht="30" customHeight="1">
      <c r="A144" s="384"/>
      <c r="B144" s="384"/>
      <c r="C144" s="384"/>
      <c r="D144" s="384"/>
      <c r="E144" s="384"/>
      <c r="F144" s="384"/>
    </row>
    <row r="145" spans="1:6" ht="30" customHeight="1">
      <c r="A145" s="384"/>
      <c r="B145" s="384"/>
      <c r="C145" s="384"/>
      <c r="D145" s="384"/>
      <c r="E145" s="384"/>
      <c r="F145" s="384"/>
    </row>
    <row r="146" spans="1:6" ht="30" customHeight="1">
      <c r="A146" s="384"/>
      <c r="B146" s="384"/>
      <c r="C146" s="384"/>
      <c r="D146" s="384"/>
      <c r="E146" s="384"/>
    </row>
    <row r="147" spans="1:6" ht="30" customHeight="1">
      <c r="E147" s="384"/>
    </row>
    <row r="148" spans="1:6" ht="30" customHeight="1">
      <c r="E148" s="384"/>
    </row>
    <row r="149" spans="1:6" ht="30" customHeight="1">
      <c r="E149" s="384"/>
    </row>
  </sheetData>
  <sheetProtection algorithmName="SHA-512" hashValue="ve6+RkOUYLN4aV+TOWsUTcVNarTZ0O1xODK78vhp1rhsJKdzubhREOcxrnzLjmXW6ryNXCl6g7RUXXI7Il1sIg==" saltValue="Qzot3+twO6n+3F18ICIh0A==" spinCount="100000" sheet="1" objects="1" selectLockedCells="1"/>
  <mergeCells count="36">
    <mergeCell ref="M86:Q86"/>
    <mergeCell ref="H115:I115"/>
    <mergeCell ref="H120:I120"/>
    <mergeCell ref="H125:I125"/>
    <mergeCell ref="X77:X78"/>
    <mergeCell ref="A74:E74"/>
    <mergeCell ref="G74:K74"/>
    <mergeCell ref="A77:E77"/>
    <mergeCell ref="A80:E80"/>
    <mergeCell ref="B81:C81"/>
    <mergeCell ref="D81:E81"/>
    <mergeCell ref="S65:X65"/>
    <mergeCell ref="A66:E66"/>
    <mergeCell ref="G67:K67"/>
    <mergeCell ref="M68:Q68"/>
    <mergeCell ref="A71:E71"/>
    <mergeCell ref="G60:K60"/>
    <mergeCell ref="A62:E62"/>
    <mergeCell ref="G63:K63"/>
    <mergeCell ref="A64:E64"/>
    <mergeCell ref="G65:K65"/>
    <mergeCell ref="A52:E52"/>
    <mergeCell ref="A55:E55"/>
    <mergeCell ref="M55:Q55"/>
    <mergeCell ref="G56:K56"/>
    <mergeCell ref="A57:E57"/>
    <mergeCell ref="A42:E42"/>
    <mergeCell ref="A44:E44"/>
    <mergeCell ref="A46:E46"/>
    <mergeCell ref="G46:K46"/>
    <mergeCell ref="G51:K51"/>
    <mergeCell ref="G40:K40"/>
    <mergeCell ref="M40:Q40"/>
    <mergeCell ref="S40:AV40"/>
    <mergeCell ref="G41:K41"/>
    <mergeCell ref="M41:Q41"/>
  </mergeCells>
  <phoneticPr fontId="36" type="noConversion"/>
  <dataValidations count="36">
    <dataValidation type="whole" allowBlank="1" showInputMessage="1" showErrorMessage="1" errorTitle="设置值超出范围" error="预留带宽设置值超出范围" sqref="D70">
      <formula1>0</formula1>
      <formula2>J66</formula2>
    </dataValidation>
    <dataValidation type="custom" allowBlank="1" showInputMessage="1" showErrorMessage="1" error="输入参数值为1或者2" sqref="B8">
      <formula1>OR((B8=1),(B8=2))</formula1>
    </dataValidation>
    <dataValidation allowBlank="1" showErrorMessage="1" promptTitle="参数变化" prompt="该参数会根据当前生效的水平像素Binning、水平像素抽样变化" sqref="B2 B3"/>
    <dataValidation type="whole" allowBlank="1" showInputMessage="1" showErrorMessage="1" error="设置值范围为0~包间隔最大值" sqref="B16">
      <formula1>0</formula1>
      <formula2>B17</formula2>
    </dataValidation>
    <dataValidation allowBlank="1" showInputMessage="1" showErrorMessage="1" error="输入范围是64~1024，步长为2" sqref="A1:B1"/>
    <dataValidation type="whole" allowBlank="1" showInputMessage="1" showErrorMessage="1" errorTitle="超出范围" error="曝光时间的范围是14us-1s" sqref="B9 D48">
      <formula1>4</formula1>
      <formula2>1000000</formula2>
    </dataValidation>
    <dataValidation type="custom" allowBlank="1" showInputMessage="1" showErrorMessage="1" errorTitle="输入数值非法" error="输入范围是16~图像宽度最大值，步长为16" sqref="B4">
      <formula1>AND((B4&lt;=B2),(B4&gt;=4),(MOD(B4,4)=0))</formula1>
    </dataValidation>
    <dataValidation type="list" allowBlank="1" showInputMessage="1" showErrorMessage="1" sqref="D67">
      <formula1>"1000,10000"</formula1>
    </dataValidation>
    <dataValidation type="custom" allowBlank="1" showInputMessage="1" showErrorMessage="1" errorTitle="输入数值非法" error="输入范围是2~图像高度最大值，步长为2" sqref="B5">
      <formula1>AND((B5&lt;=B3),(B5&gt;=2),(MOD(B5,2)=0))</formula1>
    </dataValidation>
    <dataValidation type="custom" allowBlank="1" showInputMessage="1" showErrorMessage="1" error="输入参数值为1或者2，并且当水平像素抽样不为1时不能输入" sqref="B6">
      <formula1>AND(OR((B6=1),(B6=2)),B7=1)</formula1>
    </dataValidation>
    <dataValidation type="custom" allowBlank="1" showInputMessage="1" showErrorMessage="1" error="输入参数值为1或者2，并且当水平像素抽样不为1时不能输入" sqref="B7">
      <formula1>AND(OR((B7=1),(B7=2)),B6=1)</formula1>
    </dataValidation>
    <dataValidation type="custom" allowBlank="1" showInputMessage="1" showErrorMessage="1" error="请输入8或者10" sqref="B10">
      <formula1>OR((B10=8),(B10=10))</formula1>
    </dataValidation>
    <dataValidation type="custom" allowBlank="1" showInputMessage="1" showErrorMessage="1" error="请输入10000或者1000" sqref="B11">
      <formula1>OR((B11=10000),(B11=1000))</formula1>
    </dataValidation>
    <dataValidation type="list" allowBlank="1" showInputMessage="1" showErrorMessage="1" errorTitle="超出范围" error="请输入0或者1" sqref="B12 B20">
      <formula1>"0,1"</formula1>
    </dataValidation>
    <dataValidation type="custom" allowBlank="1" showInputMessage="1" showErrorMessage="1" error="设置值范围0.1~10000.0，精确到一位小数" sqref="B13">
      <formula1>AND(TRUNC(B13,1)=B13,(B13&gt;=0.1),(B13&lt;=10000))</formula1>
    </dataValidation>
    <dataValidation type="list" allowBlank="1" showInputMessage="1" showErrorMessage="1" sqref="C41">
      <formula1>$AU$42:$AU$45</formula1>
    </dataValidation>
    <dataValidation type="whole" allowBlank="1" showInputMessage="1" showErrorMessage="1" error="输入范围是[0,5000]，单位为us" sqref="B19">
      <formula1>0</formula1>
      <formula2>5000</formula2>
    </dataValidation>
    <dataValidation type="whole" allowBlank="1" showInputMessage="1" showErrorMessage="1" error="设置范围为0~预留带宽最大值" sqref="B14">
      <formula1>0</formula1>
      <formula2>B15</formula2>
    </dataValidation>
    <dataValidation type="custom" allowBlank="1" showInputMessage="1" showErrorMessage="1" error="输入范围是512~8192，步长为4" sqref="B18 C27">
      <formula1>AND((B18&lt;=8192),(B18&gt;=512),(MOD(B18,4)=0))</formula1>
    </dataValidation>
    <dataValidation type="whole" allowBlank="1" showInputMessage="1" showErrorMessage="1" errorTitle="设置值超出范围" error="包间隔设置值超出范围" sqref="D69">
      <formula1>J75</formula1>
      <formula2>J64</formula2>
    </dataValidation>
    <dataValidation type="whole" allowBlank="1" showInputMessage="1" showErrorMessage="1" errorTitle="输入数值非法" error="最小值2，最大值1000000" sqref="D51">
      <formula1>0</formula1>
      <formula2>1000000</formula2>
    </dataValidation>
    <dataValidation type="list" allowBlank="1" showInputMessage="1" showErrorMessage="1" sqref="C40">
      <formula1>$S$42:$S$56</formula1>
    </dataValidation>
    <dataValidation type="list" allowBlank="1" showInputMessage="1" showErrorMessage="1" sqref="D45">
      <formula1>"8,12"</formula1>
    </dataValidation>
    <dataValidation type="list" allowBlank="1" showInputMessage="1" showErrorMessage="1" errorTitle="超出范围" error="曝光时间的范围是14us-1s" sqref="D47">
      <formula1>"Timed,TriggerWidth"</formula1>
    </dataValidation>
    <dataValidation type="whole" allowBlank="1" showInputMessage="1" showErrorMessage="1" errorTitle="超出范围" error="曝光延迟的范围是0-5000us" sqref="D49">
      <formula1>0</formula1>
      <formula2>5000</formula2>
    </dataValidation>
    <dataValidation type="whole" allowBlank="1" showInputMessage="1" showErrorMessage="1" errorTitle="输入数值非法" error="最小值4，最大值D12" sqref="D50">
      <formula1>0</formula1>
      <formula2>(D61*D79+P47+P52+P54)*J43/1000+1</formula2>
    </dataValidation>
    <dataValidation type="whole" allowBlank="1" showInputMessage="1" showErrorMessage="1" errorTitle="超出范围" error="触发延时的范围是0-3000000us" sqref="D56">
      <formula1>0</formula1>
      <formula2>3000000</formula2>
    </dataValidation>
    <dataValidation type="whole" allowBlank="1" showInputMessage="1" showErrorMessage="1" errorTitle="输入数值非法" error="最小值4，最大值D12" sqref="D60">
      <formula1>4</formula1>
      <formula2>C60</formula2>
    </dataValidation>
    <dataValidation type="whole" allowBlank="1" showInputMessage="1" showErrorMessage="1" errorTitle="输入数值非法" error="最小值2，最大值D13" sqref="D61">
      <formula1>2</formula1>
      <formula2>C61</formula2>
    </dataValidation>
    <dataValidation type="list" allowBlank="1" showInputMessage="1" showErrorMessage="1" sqref="D63 D65 D53:D54">
      <formula1>"0,1"</formula1>
    </dataValidation>
    <dataValidation type="custom" allowBlank="1" showInputMessage="1" showErrorMessage="1" sqref="D68">
      <formula1>AND(MOD(D68,4)=0,D68&gt;=512,D68&lt;=16384)</formula1>
    </dataValidation>
    <dataValidation type="list" allowBlank="1" showInputMessage="1" showErrorMessage="1" errorTitle="超出范围" error="0:关闭_x000a_1:打开" sqref="D72">
      <formula1>"0,1"</formula1>
    </dataValidation>
    <dataValidation type="decimal" allowBlank="1" showInputMessage="1" showErrorMessage="1" sqref="D73">
      <formula1>0.1</formula1>
      <formula2>10000</formula2>
    </dataValidation>
    <dataValidation type="whole" operator="lessThanOrEqual" allowBlank="1" showInputMessage="1" showErrorMessage="1" error="Binning/Skipping系数最大为2" prompt="设置水平Binning/Skipping时，需要同步修改水平ROI" sqref="D75 D78">
      <formula1>2</formula1>
    </dataValidation>
    <dataValidation type="whole" operator="lessThanOrEqual" allowBlank="1" showInputMessage="1" showErrorMessage="1" error="Binning/Skipping系数最大为2" prompt="设置垂直Binning/Skipping时，需要同步修改垂直ROI" sqref="D76 D79">
      <formula1>2</formula1>
    </dataValidation>
    <dataValidation type="whole" operator="lessThanOrEqual" allowBlank="1" showInputMessage="1" showErrorMessage="1" sqref="D58:D59">
      <formula1>D60</formula1>
    </dataValidation>
  </dataValidations>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V149"/>
  <sheetViews>
    <sheetView workbookViewId="0">
      <selection activeCell="B6" sqref="B6"/>
    </sheetView>
  </sheetViews>
  <sheetFormatPr defaultColWidth="9" defaultRowHeight="30" customHeight="1"/>
  <cols>
    <col min="1" max="1" width="28.625" style="200" customWidth="1"/>
    <col min="2" max="2" width="31.25" style="200" customWidth="1"/>
    <col min="3" max="3" width="14.875" style="200" customWidth="1"/>
    <col min="4" max="4" width="18.25" style="200" customWidth="1"/>
    <col min="5" max="5" width="6.75" style="200" customWidth="1"/>
    <col min="6" max="6" width="4.5" style="200" customWidth="1"/>
    <col min="7" max="7" width="17.75" style="200" customWidth="1"/>
    <col min="8" max="8" width="15.75" style="200" customWidth="1"/>
    <col min="9" max="9" width="57.375" style="200" customWidth="1"/>
    <col min="10" max="10" width="18.25" style="200" customWidth="1"/>
    <col min="11" max="12" width="4.5" style="200" customWidth="1"/>
    <col min="13" max="13" width="25.625" style="200" customWidth="1"/>
    <col min="14" max="14" width="22.875" style="200" customWidth="1"/>
    <col min="15" max="15" width="43.5" style="200" customWidth="1"/>
    <col min="16" max="16" width="10.25" style="200" customWidth="1"/>
    <col min="17" max="17" width="6.375" style="200" customWidth="1"/>
    <col min="18" max="18" width="4.875" style="200" customWidth="1"/>
    <col min="19" max="19" width="26.5" style="200" customWidth="1"/>
    <col min="20" max="20" width="13.125" style="200" customWidth="1"/>
    <col min="21" max="21" width="20.625" style="200" customWidth="1"/>
    <col min="22" max="22" width="23.375" style="200" customWidth="1"/>
    <col min="23" max="23" width="14.125" style="200" customWidth="1"/>
    <col min="24" max="24" width="18.875" style="200" customWidth="1"/>
    <col min="25" max="25" width="12" style="200" customWidth="1"/>
    <col min="26" max="26" width="14" style="200" customWidth="1"/>
    <col min="27" max="27" width="17" style="200" customWidth="1"/>
    <col min="28" max="28" width="20.375" style="200" customWidth="1"/>
    <col min="29" max="29" width="21" style="200" customWidth="1"/>
    <col min="30" max="30" width="20.25" style="200" customWidth="1"/>
    <col min="31" max="31" width="21.5" style="200" customWidth="1"/>
    <col min="32" max="32" width="24.125" style="200" customWidth="1"/>
    <col min="33" max="33" width="11.625" style="200" customWidth="1"/>
    <col min="34" max="34" width="21.625" style="200" customWidth="1"/>
    <col min="35" max="35" width="17.25" style="200" customWidth="1"/>
    <col min="36" max="36" width="13.5" style="200" customWidth="1"/>
    <col min="37" max="37" width="12.875" style="200" customWidth="1"/>
    <col min="38" max="40" width="21.625" style="200" customWidth="1"/>
    <col min="41" max="41" width="19.375" style="200" customWidth="1"/>
    <col min="42" max="46" width="20.25" style="200" customWidth="1"/>
    <col min="47" max="47" width="23" style="200" customWidth="1"/>
    <col min="48" max="48" width="18.375" style="200" customWidth="1"/>
    <col min="49" max="16384" width="9" style="200"/>
  </cols>
  <sheetData>
    <row r="1" spans="1:3" s="403" customFormat="1" ht="13.5">
      <c r="A1" s="198" t="s">
        <v>16</v>
      </c>
      <c r="B1" s="199"/>
    </row>
    <row r="2" spans="1:3" s="403" customFormat="1" ht="13.5">
      <c r="A2" s="198" t="s">
        <v>17</v>
      </c>
      <c r="B2" s="198">
        <f>IF(C30=1,C28,C26)</f>
        <v>4192</v>
      </c>
    </row>
    <row r="3" spans="1:3" s="403" customFormat="1" ht="13.5">
      <c r="A3" s="198" t="s">
        <v>18</v>
      </c>
      <c r="B3" s="198">
        <f>IF(C31=1,C29,C27)</f>
        <v>2160</v>
      </c>
    </row>
    <row r="4" spans="1:3" s="403" customFormat="1" ht="13.5">
      <c r="A4" s="198" t="s">
        <v>19</v>
      </c>
      <c r="B4" s="199">
        <v>4192</v>
      </c>
      <c r="C4" s="405" t="str">
        <f>IF(OR(B4&gt;B2,B4&lt;4),I25,"")</f>
        <v/>
      </c>
    </row>
    <row r="5" spans="1:3" s="403" customFormat="1" ht="13.5">
      <c r="A5" s="198" t="s">
        <v>20</v>
      </c>
      <c r="B5" s="199">
        <v>2160</v>
      </c>
      <c r="C5" s="405" t="str">
        <f>IF(OR(B5&gt;B3,B5&lt;2),I26,"")</f>
        <v/>
      </c>
    </row>
    <row r="6" spans="1:3" s="403" customFormat="1" ht="13.5">
      <c r="A6" s="198" t="s">
        <v>21</v>
      </c>
      <c r="B6" s="199">
        <v>1</v>
      </c>
      <c r="C6" s="405"/>
    </row>
    <row r="7" spans="1:3" s="403" customFormat="1" ht="13.5">
      <c r="A7" s="198" t="s">
        <v>23</v>
      </c>
      <c r="B7" s="199">
        <v>1</v>
      </c>
    </row>
    <row r="8" spans="1:3" s="403" customFormat="1" ht="13.5">
      <c r="A8" s="198" t="s">
        <v>24</v>
      </c>
      <c r="B8" s="199">
        <v>1</v>
      </c>
    </row>
    <row r="9" spans="1:3" s="403" customFormat="1" ht="13.5">
      <c r="A9" s="198" t="s">
        <v>25</v>
      </c>
      <c r="B9" s="199">
        <v>10000</v>
      </c>
    </row>
    <row r="10" spans="1:3" s="403" customFormat="1" ht="13.5">
      <c r="A10" s="198" t="s">
        <v>26</v>
      </c>
      <c r="B10" s="199">
        <v>8</v>
      </c>
    </row>
    <row r="11" spans="1:3" s="403" customFormat="1" ht="13.5">
      <c r="A11" s="198" t="s">
        <v>27</v>
      </c>
      <c r="B11" s="199">
        <v>10000</v>
      </c>
    </row>
    <row r="12" spans="1:3" s="403" customFormat="1" ht="13.5">
      <c r="A12" s="198" t="s">
        <v>28</v>
      </c>
      <c r="B12" s="199">
        <v>0</v>
      </c>
    </row>
    <row r="13" spans="1:3" s="403" customFormat="1" ht="13.5">
      <c r="A13" s="198" t="s">
        <v>29</v>
      </c>
      <c r="B13" s="199">
        <v>120</v>
      </c>
    </row>
    <row r="14" spans="1:3" s="403" customFormat="1" ht="13.5">
      <c r="A14" s="198" t="s">
        <v>30</v>
      </c>
      <c r="B14" s="199">
        <v>2</v>
      </c>
    </row>
    <row r="15" spans="1:3" s="403" customFormat="1" ht="13.5">
      <c r="A15" s="198" t="s">
        <v>31</v>
      </c>
      <c r="B15" s="198">
        <f>J66</f>
        <v>99</v>
      </c>
    </row>
    <row r="16" spans="1:3" s="403" customFormat="1" ht="13.5">
      <c r="A16" s="198" t="s">
        <v>32</v>
      </c>
      <c r="B16" s="199">
        <v>0</v>
      </c>
    </row>
    <row r="17" spans="1:11" s="403" customFormat="1" ht="13.5">
      <c r="A17" s="198" t="s">
        <v>33</v>
      </c>
      <c r="B17" s="198">
        <f>J64</f>
        <v>8766966</v>
      </c>
    </row>
    <row r="18" spans="1:11" s="403" customFormat="1" ht="13.5">
      <c r="A18" s="198" t="s">
        <v>34</v>
      </c>
      <c r="B18" s="199">
        <v>8164</v>
      </c>
    </row>
    <row r="19" spans="1:11" s="403" customFormat="1" ht="13.5">
      <c r="A19" s="198" t="s">
        <v>35</v>
      </c>
      <c r="B19" s="199">
        <v>0</v>
      </c>
    </row>
    <row r="20" spans="1:11" s="403" customFormat="1" ht="13.5">
      <c r="A20" s="198" t="s">
        <v>36</v>
      </c>
      <c r="B20" s="199">
        <v>0</v>
      </c>
    </row>
    <row r="21" spans="1:11" s="403" customFormat="1" ht="13.5">
      <c r="A21" s="198"/>
      <c r="B21" s="199"/>
    </row>
    <row r="22" spans="1:11" s="403" customFormat="1" ht="13.5">
      <c r="A22" s="198" t="s">
        <v>37</v>
      </c>
      <c r="B22" s="198">
        <f>D81</f>
        <v>99.532198666268542</v>
      </c>
      <c r="C22" s="405" t="str">
        <f>IF(I31,I27,"")</f>
        <v/>
      </c>
    </row>
    <row r="23" spans="1:11" ht="30" hidden="1" customHeight="1">
      <c r="A23" s="403"/>
      <c r="B23" s="403"/>
      <c r="C23" s="403"/>
      <c r="D23" s="403"/>
      <c r="E23" s="403"/>
      <c r="F23" s="403"/>
      <c r="G23" s="403"/>
      <c r="H23" s="403"/>
      <c r="I23" s="403"/>
      <c r="J23" s="403"/>
      <c r="K23" s="403"/>
    </row>
    <row r="24" spans="1:11" ht="30" hidden="1" customHeight="1">
      <c r="A24" s="403"/>
      <c r="B24" s="403"/>
      <c r="C24" s="403"/>
      <c r="D24" s="403"/>
      <c r="E24" s="403"/>
      <c r="F24" s="403"/>
      <c r="G24" s="403"/>
      <c r="H24" s="403"/>
      <c r="I24" t="s">
        <v>400</v>
      </c>
      <c r="J24" s="403"/>
      <c r="K24" s="403"/>
    </row>
    <row r="25" spans="1:11" ht="30" hidden="1" customHeight="1">
      <c r="A25" s="403"/>
      <c r="B25" s="403"/>
      <c r="C25" s="403"/>
      <c r="D25" s="403"/>
      <c r="E25" s="403"/>
      <c r="F25" s="403"/>
      <c r="G25" s="403"/>
      <c r="H25" s="403"/>
      <c r="I25" t="s">
        <v>401</v>
      </c>
      <c r="J25" s="403"/>
      <c r="K25" s="403"/>
    </row>
    <row r="26" spans="1:11" s="403" customFormat="1" ht="27" hidden="1">
      <c r="A26" s="198" t="s">
        <v>40</v>
      </c>
      <c r="B26" s="198"/>
      <c r="C26" s="198">
        <f>ROUNDDOWN(C28/2/16,0)*16</f>
        <v>2096</v>
      </c>
      <c r="I26" s="403" t="s">
        <v>402</v>
      </c>
    </row>
    <row r="27" spans="1:11" s="403" customFormat="1" ht="27" hidden="1">
      <c r="A27" s="198" t="s">
        <v>42</v>
      </c>
      <c r="B27" s="198"/>
      <c r="C27" s="198">
        <f>C29/2</f>
        <v>1080</v>
      </c>
      <c r="I27" s="403" t="s">
        <v>403</v>
      </c>
    </row>
    <row r="28" spans="1:11" s="403" customFormat="1" ht="13.5" hidden="1">
      <c r="A28" s="198" t="s">
        <v>44</v>
      </c>
      <c r="B28" s="198"/>
      <c r="C28" s="198">
        <f>C60</f>
        <v>4192</v>
      </c>
    </row>
    <row r="29" spans="1:11" s="403" customFormat="1" ht="13.5" hidden="1">
      <c r="A29" s="198" t="s">
        <v>45</v>
      </c>
      <c r="B29" s="198"/>
      <c r="C29" s="198">
        <f>C61</f>
        <v>2160</v>
      </c>
    </row>
    <row r="30" spans="1:11" s="403" customFormat="1" ht="13.5" hidden="1">
      <c r="A30" s="198" t="s">
        <v>46</v>
      </c>
      <c r="B30" s="198"/>
      <c r="C30" s="198">
        <f>IF(B6=1,B7,B6)</f>
        <v>1</v>
      </c>
      <c r="I30" s="403" t="s">
        <v>404</v>
      </c>
    </row>
    <row r="31" spans="1:11" s="403" customFormat="1" ht="13.5" hidden="1">
      <c r="A31" s="198" t="s">
        <v>48</v>
      </c>
      <c r="B31" s="198"/>
      <c r="C31" s="198">
        <f>B8</f>
        <v>1</v>
      </c>
      <c r="I31" s="403">
        <f>IF(OR(OR(B4&gt;B2,B4&lt;4),OR(B5&gt;B3,B5&lt;2)),1,0)</f>
        <v>0</v>
      </c>
    </row>
    <row r="32" spans="1:11" ht="30" hidden="1" customHeight="1"/>
    <row r="33" spans="1:48" ht="30" hidden="1" customHeight="1"/>
    <row r="34" spans="1:48" ht="30" hidden="1" customHeight="1"/>
    <row r="35" spans="1:48" ht="30" hidden="1" customHeight="1"/>
    <row r="36" spans="1:48" ht="30" hidden="1" customHeight="1"/>
    <row r="37" spans="1:48" ht="30" hidden="1" customHeight="1"/>
    <row r="38" spans="1:48" ht="30" hidden="1" customHeight="1"/>
    <row r="39" spans="1:48" ht="30" hidden="1" customHeight="1"/>
    <row r="40" spans="1:48" ht="30" hidden="1" customHeight="1">
      <c r="A40" s="201" t="s">
        <v>49</v>
      </c>
      <c r="B40" s="201" t="s">
        <v>50</v>
      </c>
      <c r="C40" s="202" t="s">
        <v>408</v>
      </c>
      <c r="D40" s="203"/>
      <c r="E40" s="203"/>
      <c r="F40" s="203"/>
      <c r="G40" s="1202" t="s">
        <v>52</v>
      </c>
      <c r="H40" s="1203"/>
      <c r="I40" s="1203"/>
      <c r="J40" s="1203"/>
      <c r="K40" s="1204"/>
      <c r="L40" s="259"/>
      <c r="M40" s="1202" t="s">
        <v>53</v>
      </c>
      <c r="N40" s="1203"/>
      <c r="O40" s="1203"/>
      <c r="P40" s="1203"/>
      <c r="Q40" s="1204"/>
      <c r="R40" s="259"/>
      <c r="S40" s="1205" t="s">
        <v>54</v>
      </c>
      <c r="T40" s="1206"/>
      <c r="U40" s="1206"/>
      <c r="V40" s="1206"/>
      <c r="W40" s="1206"/>
      <c r="X40" s="1206"/>
      <c r="Y40" s="1206"/>
      <c r="Z40" s="1206"/>
      <c r="AA40" s="1206"/>
      <c r="AB40" s="1206"/>
      <c r="AC40" s="1206"/>
      <c r="AD40" s="1206"/>
      <c r="AE40" s="1206"/>
      <c r="AF40" s="1206"/>
      <c r="AG40" s="1206"/>
      <c r="AH40" s="1206"/>
      <c r="AI40" s="1206"/>
      <c r="AJ40" s="1206"/>
      <c r="AK40" s="1206"/>
      <c r="AL40" s="1206"/>
      <c r="AM40" s="1206"/>
      <c r="AN40" s="1206"/>
      <c r="AO40" s="1206"/>
      <c r="AP40" s="1206"/>
      <c r="AQ40" s="1206"/>
      <c r="AR40" s="1206"/>
      <c r="AS40" s="1206"/>
      <c r="AT40" s="1206"/>
      <c r="AU40" s="1206"/>
      <c r="AV40" s="1207"/>
    </row>
    <row r="41" spans="1:48" ht="30" hidden="1" customHeight="1">
      <c r="A41" s="201" t="s">
        <v>55</v>
      </c>
      <c r="B41" s="201" t="s">
        <v>56</v>
      </c>
      <c r="C41" s="202" t="s">
        <v>100</v>
      </c>
      <c r="D41" s="203"/>
      <c r="E41" s="203"/>
      <c r="F41" s="203"/>
      <c r="G41" s="1208" t="s">
        <v>58</v>
      </c>
      <c r="H41" s="1209"/>
      <c r="I41" s="1209"/>
      <c r="J41" s="1209"/>
      <c r="K41" s="1210"/>
      <c r="L41" s="259"/>
      <c r="M41" s="1208" t="s">
        <v>59</v>
      </c>
      <c r="N41" s="1209"/>
      <c r="O41" s="1209"/>
      <c r="P41" s="1209"/>
      <c r="Q41" s="1210"/>
      <c r="R41" s="259"/>
      <c r="S41" s="306" t="s">
        <v>60</v>
      </c>
      <c r="T41" s="307" t="s">
        <v>61</v>
      </c>
      <c r="U41" s="307" t="s">
        <v>62</v>
      </c>
      <c r="V41" s="307" t="s">
        <v>63</v>
      </c>
      <c r="W41" s="307" t="s">
        <v>64</v>
      </c>
      <c r="X41" s="307" t="s">
        <v>65</v>
      </c>
      <c r="Y41" s="307" t="s">
        <v>66</v>
      </c>
      <c r="Z41" s="307" t="s">
        <v>67</v>
      </c>
      <c r="AA41" s="307" t="s">
        <v>68</v>
      </c>
      <c r="AB41" s="307" t="s">
        <v>69</v>
      </c>
      <c r="AC41" s="307" t="s">
        <v>70</v>
      </c>
      <c r="AD41" s="307" t="s">
        <v>71</v>
      </c>
      <c r="AE41" s="307" t="s">
        <v>72</v>
      </c>
      <c r="AF41" s="307" t="s">
        <v>73</v>
      </c>
      <c r="AG41" s="307" t="s">
        <v>74</v>
      </c>
      <c r="AH41" s="307" t="s">
        <v>75</v>
      </c>
      <c r="AI41" s="307" t="s">
        <v>76</v>
      </c>
      <c r="AJ41" s="307" t="s">
        <v>77</v>
      </c>
      <c r="AK41" s="307" t="s">
        <v>78</v>
      </c>
      <c r="AL41" s="307" t="s">
        <v>79</v>
      </c>
      <c r="AM41" s="347" t="s">
        <v>80</v>
      </c>
      <c r="AN41" s="307" t="s">
        <v>81</v>
      </c>
      <c r="AO41" s="307" t="s">
        <v>82</v>
      </c>
      <c r="AP41" s="307" t="s">
        <v>83</v>
      </c>
      <c r="AQ41" s="307" t="s">
        <v>84</v>
      </c>
      <c r="AR41" s="307" t="s">
        <v>85</v>
      </c>
      <c r="AS41" s="358" t="s">
        <v>86</v>
      </c>
      <c r="AT41" s="307" t="s">
        <v>87</v>
      </c>
      <c r="AU41" s="307" t="s">
        <v>88</v>
      </c>
      <c r="AV41" s="360" t="s">
        <v>89</v>
      </c>
    </row>
    <row r="42" spans="1:48" ht="30" hidden="1" customHeight="1">
      <c r="A42" s="1202" t="s">
        <v>90</v>
      </c>
      <c r="B42" s="1203"/>
      <c r="C42" s="1203"/>
      <c r="D42" s="1203"/>
      <c r="E42" s="1204"/>
      <c r="F42" s="203"/>
      <c r="G42" s="260" t="s">
        <v>91</v>
      </c>
      <c r="H42" s="261" t="s">
        <v>92</v>
      </c>
      <c r="I42" s="261" t="s">
        <v>93</v>
      </c>
      <c r="J42" s="261" t="s">
        <v>94</v>
      </c>
      <c r="K42" s="262" t="s">
        <v>95</v>
      </c>
      <c r="L42" s="259"/>
      <c r="M42" s="204" t="s">
        <v>91</v>
      </c>
      <c r="N42" s="205" t="s">
        <v>92</v>
      </c>
      <c r="O42" s="205" t="s">
        <v>93</v>
      </c>
      <c r="P42" s="205" t="s">
        <v>96</v>
      </c>
      <c r="Q42" s="308" t="s">
        <v>95</v>
      </c>
      <c r="R42" s="259"/>
      <c r="S42" s="309" t="s">
        <v>405</v>
      </c>
      <c r="T42" s="310" t="s">
        <v>98</v>
      </c>
      <c r="U42" s="310">
        <v>80</v>
      </c>
      <c r="V42" s="333">
        <v>80</v>
      </c>
      <c r="W42" s="334">
        <v>1</v>
      </c>
      <c r="X42" s="333">
        <v>16</v>
      </c>
      <c r="Y42" s="334">
        <v>128</v>
      </c>
      <c r="Z42" s="334">
        <v>4</v>
      </c>
      <c r="AA42" s="310">
        <v>5376</v>
      </c>
      <c r="AB42" s="310">
        <v>1</v>
      </c>
      <c r="AC42" s="310">
        <v>5376</v>
      </c>
      <c r="AD42" s="310">
        <v>5184</v>
      </c>
      <c r="AE42" s="333">
        <f>ROUNDUP((6*AF42/V42)*1000,0)+ROUNDUP(3*$J$43,0)</f>
        <v>20700</v>
      </c>
      <c r="AF42" s="348">
        <f>IF(D45=8,124,248)</f>
        <v>124</v>
      </c>
      <c r="AG42" s="348">
        <v>3</v>
      </c>
      <c r="AH42" s="348">
        <v>3</v>
      </c>
      <c r="AI42" s="348">
        <v>636</v>
      </c>
      <c r="AJ42" s="348">
        <v>6</v>
      </c>
      <c r="AK42" s="348">
        <v>14</v>
      </c>
      <c r="AL42" s="310">
        <v>1</v>
      </c>
      <c r="AM42" s="350" t="s">
        <v>99</v>
      </c>
      <c r="AN42" s="333">
        <v>20000</v>
      </c>
      <c r="AO42" s="348">
        <v>5120</v>
      </c>
      <c r="AP42" s="348">
        <v>5120</v>
      </c>
      <c r="AQ42" s="310">
        <v>42</v>
      </c>
      <c r="AR42" s="310">
        <v>1</v>
      </c>
      <c r="AS42" s="361">
        <v>156.25</v>
      </c>
      <c r="AT42" s="310">
        <v>1</v>
      </c>
      <c r="AU42" s="310" t="s">
        <v>100</v>
      </c>
      <c r="AV42" s="363">
        <v>0</v>
      </c>
    </row>
    <row r="43" spans="1:48" ht="30" hidden="1" customHeight="1">
      <c r="A43" s="204" t="s">
        <v>91</v>
      </c>
      <c r="B43" s="205" t="s">
        <v>92</v>
      </c>
      <c r="C43" s="205" t="s">
        <v>101</v>
      </c>
      <c r="D43" s="205" t="s">
        <v>102</v>
      </c>
      <c r="E43" s="206" t="s">
        <v>95</v>
      </c>
      <c r="F43" s="203"/>
      <c r="G43" s="211" t="s">
        <v>103</v>
      </c>
      <c r="H43" s="212" t="s">
        <v>104</v>
      </c>
      <c r="I43" s="251" t="s">
        <v>105</v>
      </c>
      <c r="J43" s="263">
        <f>ROUNDUP(1000*P46*P44/P43,0)</f>
        <v>3800</v>
      </c>
      <c r="K43" s="211" t="s">
        <v>106</v>
      </c>
      <c r="L43" s="259"/>
      <c r="M43" s="211" t="s">
        <v>107</v>
      </c>
      <c r="N43" s="212" t="s">
        <v>108</v>
      </c>
      <c r="O43" s="212" t="s">
        <v>109</v>
      </c>
      <c r="P43" s="311">
        <f>VLOOKUP($C$40,$S$42:$AU$59,4,FALSE)</f>
        <v>80</v>
      </c>
      <c r="Q43" s="312" t="s">
        <v>110</v>
      </c>
      <c r="R43" s="259"/>
      <c r="S43" s="396" t="s">
        <v>406</v>
      </c>
      <c r="T43" s="268" t="s">
        <v>407</v>
      </c>
      <c r="U43" s="268">
        <v>80</v>
      </c>
      <c r="V43" s="268">
        <v>80</v>
      </c>
      <c r="W43" s="316">
        <v>1</v>
      </c>
      <c r="X43" s="316">
        <v>20</v>
      </c>
      <c r="Y43" s="316">
        <v>100</v>
      </c>
      <c r="Z43" s="316">
        <v>4</v>
      </c>
      <c r="AA43" s="268">
        <v>2800</v>
      </c>
      <c r="AB43" s="268">
        <v>1</v>
      </c>
      <c r="AC43" s="268">
        <v>2800</v>
      </c>
      <c r="AD43" s="268">
        <v>2224</v>
      </c>
      <c r="AE43" s="399">
        <f>ROUNDUP(AF43*1000/V43,0)+ROUNDUP(9*AG43*AF43*1000/V43,0)</f>
        <v>22000</v>
      </c>
      <c r="AF43" s="397">
        <f>IF(D45=8,176,352)</f>
        <v>176</v>
      </c>
      <c r="AG43" s="397">
        <v>1</v>
      </c>
      <c r="AH43" s="398">
        <v>3</v>
      </c>
      <c r="AI43" s="397">
        <v>119</v>
      </c>
      <c r="AJ43" s="397">
        <v>6</v>
      </c>
      <c r="AK43" s="398">
        <v>14</v>
      </c>
      <c r="AL43" s="399">
        <v>1</v>
      </c>
      <c r="AM43" s="567" t="s">
        <v>99</v>
      </c>
      <c r="AN43" s="399">
        <v>10000</v>
      </c>
      <c r="AO43" s="397">
        <v>2592</v>
      </c>
      <c r="AP43" s="397">
        <v>2160</v>
      </c>
      <c r="AQ43" s="399">
        <v>200</v>
      </c>
      <c r="AR43" s="268">
        <v>1</v>
      </c>
      <c r="AS43" s="568">
        <v>156.25</v>
      </c>
      <c r="AT43" s="399">
        <v>1</v>
      </c>
      <c r="AU43" s="399" t="s">
        <v>100</v>
      </c>
      <c r="AV43" s="402">
        <v>0</v>
      </c>
    </row>
    <row r="44" spans="1:48" ht="115.5" hidden="1" customHeight="1">
      <c r="A44" s="1208" t="s">
        <v>113</v>
      </c>
      <c r="B44" s="1209"/>
      <c r="C44" s="1209"/>
      <c r="D44" s="1209"/>
      <c r="E44" s="1210"/>
      <c r="F44" s="203"/>
      <c r="G44" s="264" t="s">
        <v>114</v>
      </c>
      <c r="H44" s="227" t="s">
        <v>115</v>
      </c>
      <c r="I44" s="220" t="s">
        <v>116</v>
      </c>
      <c r="J44" s="265">
        <f>IF(D53=0,MAX(J47,J48,J49,J50)+J55,IF(D47="TriggerWidth",MAX(J47,J49,J68),IF(D54=0,MAX(J47,J48,J49)+J55,MAX(J47,J48,J49,J50)+J55)))</f>
        <v>10047</v>
      </c>
      <c r="K44" s="264" t="s">
        <v>117</v>
      </c>
      <c r="M44" s="264" t="s">
        <v>118</v>
      </c>
      <c r="N44" s="227" t="s">
        <v>118</v>
      </c>
      <c r="O44" s="227" t="s">
        <v>109</v>
      </c>
      <c r="P44" s="321">
        <f>VLOOKUP($C$40,$S$42:$AU$59,14,FALSE)</f>
        <v>152</v>
      </c>
      <c r="Q44" s="317" t="s">
        <v>119</v>
      </c>
      <c r="S44" s="396" t="s">
        <v>408</v>
      </c>
      <c r="T44" s="268" t="s">
        <v>409</v>
      </c>
      <c r="U44" s="268">
        <v>80</v>
      </c>
      <c r="V44" s="268">
        <v>80</v>
      </c>
      <c r="W44" s="316">
        <v>1</v>
      </c>
      <c r="X44" s="316">
        <v>16</v>
      </c>
      <c r="Y44" s="316">
        <v>140</v>
      </c>
      <c r="Z44" s="316">
        <v>4</v>
      </c>
      <c r="AA44" s="268">
        <v>4480</v>
      </c>
      <c r="AB44" s="268">
        <v>1</v>
      </c>
      <c r="AC44" s="268">
        <v>4480</v>
      </c>
      <c r="AD44" s="268">
        <v>2224</v>
      </c>
      <c r="AE44" s="399">
        <f>ROUNDUP(AF44*1000/V44,0)+ROUNDUP(9*AG44*AF44*1000/V44,0)</f>
        <v>36100</v>
      </c>
      <c r="AF44" s="397">
        <f>IF(D45=8,152,304)</f>
        <v>152</v>
      </c>
      <c r="AG44" s="397">
        <v>2</v>
      </c>
      <c r="AH44" s="398">
        <v>3</v>
      </c>
      <c r="AI44" s="397">
        <v>119</v>
      </c>
      <c r="AJ44" s="397">
        <v>6</v>
      </c>
      <c r="AK44" s="398">
        <v>14</v>
      </c>
      <c r="AL44" s="399">
        <v>1</v>
      </c>
      <c r="AM44" s="567" t="s">
        <v>99</v>
      </c>
      <c r="AN44" s="399">
        <v>10000</v>
      </c>
      <c r="AO44" s="397">
        <v>4192</v>
      </c>
      <c r="AP44" s="397">
        <v>2160</v>
      </c>
      <c r="AQ44" s="399">
        <v>117</v>
      </c>
      <c r="AR44" s="268">
        <v>1</v>
      </c>
      <c r="AS44" s="568">
        <v>156.25</v>
      </c>
      <c r="AT44" s="399">
        <v>1</v>
      </c>
      <c r="AU44" s="399" t="s">
        <v>100</v>
      </c>
      <c r="AV44" s="402">
        <v>0</v>
      </c>
    </row>
    <row r="45" spans="1:48" ht="30" hidden="1" customHeight="1">
      <c r="A45" s="207" t="s">
        <v>121</v>
      </c>
      <c r="B45" s="208" t="s">
        <v>113</v>
      </c>
      <c r="C45" s="208">
        <v>8</v>
      </c>
      <c r="D45" s="209">
        <f>B10</f>
        <v>8</v>
      </c>
      <c r="E45" s="210" t="s">
        <v>122</v>
      </c>
      <c r="F45" s="203"/>
      <c r="G45" s="216" t="s">
        <v>123</v>
      </c>
      <c r="H45" s="217" t="s">
        <v>58</v>
      </c>
      <c r="I45" s="225" t="s">
        <v>124</v>
      </c>
      <c r="J45" s="266">
        <f>1000000/J44</f>
        <v>99.532198666268542</v>
      </c>
      <c r="K45" s="216" t="s">
        <v>125</v>
      </c>
      <c r="M45" s="264" t="s">
        <v>126</v>
      </c>
      <c r="N45" s="227" t="s">
        <v>127</v>
      </c>
      <c r="O45" s="227" t="s">
        <v>109</v>
      </c>
      <c r="P45" s="321">
        <f>VLOOKUP($C$40,$S$42:$AU$59,13,FALSE)</f>
        <v>36100</v>
      </c>
      <c r="Q45" s="317" t="s">
        <v>106</v>
      </c>
      <c r="S45" s="318" t="s">
        <v>410</v>
      </c>
      <c r="T45" s="319" t="s">
        <v>411</v>
      </c>
      <c r="U45" s="319">
        <v>80</v>
      </c>
      <c r="V45" s="319">
        <v>80</v>
      </c>
      <c r="W45" s="335">
        <v>1</v>
      </c>
      <c r="X45" s="335">
        <v>16</v>
      </c>
      <c r="Y45" s="335">
        <v>114</v>
      </c>
      <c r="Z45" s="335">
        <v>6</v>
      </c>
      <c r="AA45" s="319">
        <v>4736</v>
      </c>
      <c r="AB45" s="319">
        <v>1</v>
      </c>
      <c r="AC45" s="319">
        <v>4736</v>
      </c>
      <c r="AD45" s="319">
        <v>4162</v>
      </c>
      <c r="AE45" s="399">
        <f>ROUNDUP(7*AF45*1000/V45,0)+ROUNDUP(10*AG45*AF45*1000/V45,0)</f>
        <v>51300</v>
      </c>
      <c r="AF45" s="357">
        <f>IF(D45=8,152,304)</f>
        <v>152</v>
      </c>
      <c r="AG45" s="357">
        <v>2</v>
      </c>
      <c r="AH45" s="357">
        <v>3</v>
      </c>
      <c r="AI45" s="357">
        <v>636</v>
      </c>
      <c r="AJ45" s="357">
        <v>6</v>
      </c>
      <c r="AK45" s="357">
        <v>14</v>
      </c>
      <c r="AL45" s="319">
        <v>1</v>
      </c>
      <c r="AM45" s="319" t="s">
        <v>99</v>
      </c>
      <c r="AN45" s="319">
        <v>10000</v>
      </c>
      <c r="AO45" s="357">
        <v>4496</v>
      </c>
      <c r="AP45" s="357">
        <v>4096</v>
      </c>
      <c r="AQ45" s="319">
        <v>61</v>
      </c>
      <c r="AR45" s="319">
        <v>1</v>
      </c>
      <c r="AS45" s="371">
        <v>156.25</v>
      </c>
      <c r="AT45" s="319">
        <v>1</v>
      </c>
      <c r="AU45" s="319" t="s">
        <v>100</v>
      </c>
      <c r="AV45" s="373">
        <v>0</v>
      </c>
    </row>
    <row r="46" spans="1:48" ht="30" hidden="1" customHeight="1">
      <c r="A46" s="1208" t="s">
        <v>128</v>
      </c>
      <c r="B46" s="1209"/>
      <c r="C46" s="1209"/>
      <c r="D46" s="1209"/>
      <c r="E46" s="1210"/>
      <c r="F46" s="203"/>
      <c r="G46" s="1208" t="s">
        <v>129</v>
      </c>
      <c r="H46" s="1209"/>
      <c r="I46" s="1209"/>
      <c r="J46" s="1209"/>
      <c r="K46" s="1210"/>
      <c r="M46" s="264" t="s">
        <v>130</v>
      </c>
      <c r="N46" s="227" t="s">
        <v>131</v>
      </c>
      <c r="O46" s="227" t="s">
        <v>109</v>
      </c>
      <c r="P46" s="321">
        <f>VLOOKUP($C$40,$S$42:$AU$59,15,FALSE)</f>
        <v>2</v>
      </c>
      <c r="Q46" s="317" t="s">
        <v>122</v>
      </c>
      <c r="S46" s="259"/>
      <c r="T46" s="259"/>
      <c r="U46" s="259"/>
      <c r="V46" s="259"/>
      <c r="W46" s="259"/>
      <c r="X46" s="259"/>
      <c r="Y46" s="259"/>
      <c r="Z46" s="259"/>
    </row>
    <row r="47" spans="1:48" ht="30" hidden="1" customHeight="1">
      <c r="A47" s="211" t="s">
        <v>132</v>
      </c>
      <c r="B47" s="212" t="s">
        <v>133</v>
      </c>
      <c r="C47" s="212" t="s">
        <v>134</v>
      </c>
      <c r="D47" s="213" t="s">
        <v>134</v>
      </c>
      <c r="E47" s="214"/>
      <c r="F47" s="203"/>
      <c r="G47" s="211" t="s">
        <v>135</v>
      </c>
      <c r="H47" s="212" t="s">
        <v>136</v>
      </c>
      <c r="I47" s="251" t="s">
        <v>137</v>
      </c>
      <c r="J47" s="263">
        <f>ROUNDUP(((D61*D79+P47+P52+P54)*J43+P45)/1000,0)</f>
        <v>8305</v>
      </c>
      <c r="K47" s="267" t="s">
        <v>117</v>
      </c>
      <c r="M47" s="264" t="s">
        <v>138</v>
      </c>
      <c r="N47" s="227" t="s">
        <v>139</v>
      </c>
      <c r="O47" s="227" t="s">
        <v>109</v>
      </c>
      <c r="P47" s="321">
        <f>VLOOKUP($C$40,$S$42:$AU$59,19,FALSE)</f>
        <v>14</v>
      </c>
      <c r="Q47" s="317" t="s">
        <v>140</v>
      </c>
      <c r="S47" s="259"/>
      <c r="T47" s="259"/>
      <c r="U47" s="259"/>
      <c r="V47" s="259"/>
      <c r="W47" s="259"/>
      <c r="X47" s="259"/>
      <c r="Y47" s="259"/>
      <c r="Z47" s="259"/>
    </row>
    <row r="48" spans="1:48" ht="55.5" hidden="1" customHeight="1">
      <c r="A48" s="211" t="s">
        <v>141</v>
      </c>
      <c r="B48" s="212" t="s">
        <v>128</v>
      </c>
      <c r="C48" s="212">
        <f>VLOOKUP($C$40,$S$42:$AU$59,22,FALSE)</f>
        <v>10000</v>
      </c>
      <c r="D48" s="215">
        <f>B9</f>
        <v>10000</v>
      </c>
      <c r="E48" s="214" t="s">
        <v>117</v>
      </c>
      <c r="F48" s="203"/>
      <c r="G48" s="264" t="s">
        <v>142</v>
      </c>
      <c r="H48" s="227" t="s">
        <v>143</v>
      </c>
      <c r="I48" s="268" t="s">
        <v>412</v>
      </c>
      <c r="J48" s="269">
        <f>ROUNDUP(D48-P49/P43+P48*J43/1000+P45/1000,0)+IF(D65=0,0,P53)+IF(D65=1,0,D49)</f>
        <v>10047</v>
      </c>
      <c r="K48" s="564" t="s">
        <v>117</v>
      </c>
      <c r="M48" s="264" t="s">
        <v>145</v>
      </c>
      <c r="N48" s="227" t="s">
        <v>146</v>
      </c>
      <c r="O48" s="227" t="s">
        <v>109</v>
      </c>
      <c r="P48" s="321">
        <f>VLOOKUP($C$40,$S$42:$AU$59,16,FALSE)</f>
        <v>3</v>
      </c>
      <c r="Q48" s="317" t="s">
        <v>140</v>
      </c>
      <c r="S48" s="259"/>
      <c r="T48" s="259"/>
      <c r="U48" s="259"/>
      <c r="V48" s="259"/>
      <c r="W48" s="259"/>
      <c r="X48" s="259"/>
      <c r="Y48" s="259"/>
      <c r="Z48" s="259"/>
    </row>
    <row r="49" spans="1:26" ht="30" hidden="1" customHeight="1">
      <c r="A49" s="216" t="s">
        <v>147</v>
      </c>
      <c r="B49" s="217" t="s">
        <v>148</v>
      </c>
      <c r="C49" s="212">
        <v>0</v>
      </c>
      <c r="D49" s="218">
        <f>B19</f>
        <v>0</v>
      </c>
      <c r="E49" s="219" t="s">
        <v>117</v>
      </c>
      <c r="F49" s="203"/>
      <c r="G49" s="264" t="s">
        <v>149</v>
      </c>
      <c r="H49" s="227" t="s">
        <v>150</v>
      </c>
      <c r="I49" s="268" t="s">
        <v>413</v>
      </c>
      <c r="J49" s="269">
        <f>ROUNDUP((1000000/D73)*D72,0)</f>
        <v>0</v>
      </c>
      <c r="K49" s="317" t="s">
        <v>117</v>
      </c>
      <c r="M49" s="264" t="s">
        <v>152</v>
      </c>
      <c r="N49" s="227" t="s">
        <v>153</v>
      </c>
      <c r="O49" s="227" t="s">
        <v>109</v>
      </c>
      <c r="P49" s="321">
        <f>VLOOKUP($C$40,$S$42:$AU$59,17,FALSE)</f>
        <v>119</v>
      </c>
      <c r="Q49" s="317" t="s">
        <v>154</v>
      </c>
      <c r="S49" s="259"/>
      <c r="T49" s="259"/>
      <c r="U49" s="259"/>
      <c r="V49" s="259"/>
      <c r="W49" s="259"/>
      <c r="X49" s="259"/>
      <c r="Y49" s="320"/>
      <c r="Z49" s="259"/>
    </row>
    <row r="50" spans="1:26" ht="60" hidden="1" customHeight="1">
      <c r="A50" s="220" t="s">
        <v>155</v>
      </c>
      <c r="B50" s="221" t="str">
        <f>"交叠曝光时间 
范围:0"&amp;"-"&amp;ROUNDUP(((D61*D79+P47+P52+P54)*J43/1000),0)</f>
        <v>交叠曝光时间 
范围:0-8269</v>
      </c>
      <c r="C50" s="212">
        <f>ROUNDUP((C61+P47+P52+P54)*J43/1000,0)</f>
        <v>8269</v>
      </c>
      <c r="D50" s="222">
        <v>0</v>
      </c>
      <c r="E50" s="219" t="s">
        <v>117</v>
      </c>
      <c r="F50" s="203"/>
      <c r="G50" s="216" t="s">
        <v>156</v>
      </c>
      <c r="H50" s="225" t="s">
        <v>157</v>
      </c>
      <c r="I50" s="225" t="s">
        <v>158</v>
      </c>
      <c r="J50" s="270">
        <f>P85</f>
        <v>7470</v>
      </c>
      <c r="K50" s="324" t="s">
        <v>117</v>
      </c>
      <c r="M50" s="264" t="s">
        <v>159</v>
      </c>
      <c r="N50" s="227" t="s">
        <v>160</v>
      </c>
      <c r="O50" s="227" t="s">
        <v>109</v>
      </c>
      <c r="P50" s="321">
        <f>VLOOKUP($C$40,$S$42:$AU$59,18,FALSE)</f>
        <v>6</v>
      </c>
      <c r="Q50" s="317" t="s">
        <v>140</v>
      </c>
      <c r="S50" s="259" t="s">
        <v>414</v>
      </c>
      <c r="T50" s="259">
        <f>C60*8/J43</f>
        <v>8.8252631578947369</v>
      </c>
      <c r="U50" s="259"/>
      <c r="V50" s="259"/>
      <c r="W50" s="259"/>
      <c r="X50" s="259"/>
      <c r="Y50" s="320"/>
      <c r="Z50" s="259"/>
    </row>
    <row r="51" spans="1:26" ht="87.75" hidden="1" customHeight="1">
      <c r="A51" s="223" t="s">
        <v>161</v>
      </c>
      <c r="B51" s="224" t="s">
        <v>162</v>
      </c>
      <c r="C51" s="225" t="s">
        <v>163</v>
      </c>
      <c r="D51" s="226">
        <v>0</v>
      </c>
      <c r="E51" s="219" t="s">
        <v>117</v>
      </c>
      <c r="F51" s="203"/>
      <c r="G51" s="1208" t="s">
        <v>164</v>
      </c>
      <c r="H51" s="1209"/>
      <c r="I51" s="1209"/>
      <c r="J51" s="1209"/>
      <c r="K51" s="1210"/>
      <c r="M51" s="264" t="s">
        <v>165</v>
      </c>
      <c r="N51" s="227" t="s">
        <v>166</v>
      </c>
      <c r="O51" s="227" t="s">
        <v>109</v>
      </c>
      <c r="P51" s="321">
        <f>VLOOKUP($C$40,$S$42:$AU$59,26,FALSE)</f>
        <v>1</v>
      </c>
      <c r="Q51" s="918" t="s">
        <v>122</v>
      </c>
      <c r="S51" s="259" t="s">
        <v>415</v>
      </c>
      <c r="T51" s="320">
        <f>U51-T52</f>
        <v>11.679065193590125</v>
      </c>
      <c r="U51" s="259">
        <f>25.6*0.74</f>
        <v>18.943999999999999</v>
      </c>
      <c r="V51" s="259"/>
      <c r="W51" s="259"/>
      <c r="X51" s="259"/>
      <c r="Y51" s="320"/>
      <c r="Z51" s="259"/>
    </row>
    <row r="52" spans="1:26" ht="87.75" hidden="1" customHeight="1">
      <c r="A52" s="1211" t="s">
        <v>167</v>
      </c>
      <c r="B52" s="1212"/>
      <c r="C52" s="1212"/>
      <c r="D52" s="1212"/>
      <c r="E52" s="1213"/>
      <c r="F52" s="203"/>
      <c r="G52" s="250" t="s">
        <v>141</v>
      </c>
      <c r="H52" s="251" t="s">
        <v>168</v>
      </c>
      <c r="I52" s="251" t="s">
        <v>169</v>
      </c>
      <c r="J52" s="263">
        <f>IF((D53=1)*(D47="TriggerWidth"),MAX(D50,D51),ROUNDUP((1000*D48-1000*P49/P43)/1000,0))</f>
        <v>9999</v>
      </c>
      <c r="K52" s="267" t="s">
        <v>117</v>
      </c>
      <c r="M52" s="264" t="s">
        <v>170</v>
      </c>
      <c r="N52" s="227" t="s">
        <v>171</v>
      </c>
      <c r="O52" s="217" t="s">
        <v>109</v>
      </c>
      <c r="P52" s="321">
        <f>VLOOKUP($C$40,$S$42:$AU$59,20,FALSE)</f>
        <v>1</v>
      </c>
      <c r="Q52" s="317" t="s">
        <v>140</v>
      </c>
      <c r="S52" s="259" t="s">
        <v>416</v>
      </c>
      <c r="T52" s="259">
        <f>J58*8/1000/1000/1000</f>
        <v>7.2649348064098742</v>
      </c>
      <c r="U52" s="259"/>
      <c r="V52" s="259"/>
      <c r="W52" s="259"/>
      <c r="X52" s="259"/>
      <c r="Y52" s="320"/>
      <c r="Z52" s="259"/>
    </row>
    <row r="53" spans="1:26" ht="87.75" hidden="1" customHeight="1">
      <c r="A53" s="227" t="s">
        <v>172</v>
      </c>
      <c r="B53" s="227" t="s">
        <v>167</v>
      </c>
      <c r="C53" s="227">
        <v>0</v>
      </c>
      <c r="D53" s="228">
        <f>B20</f>
        <v>0</v>
      </c>
      <c r="E53" s="229"/>
      <c r="F53" s="203"/>
      <c r="G53" s="235" t="s">
        <v>173</v>
      </c>
      <c r="H53" s="220" t="s">
        <v>174</v>
      </c>
      <c r="I53" s="220" t="s">
        <v>175</v>
      </c>
      <c r="J53" s="265">
        <f>D49</f>
        <v>0</v>
      </c>
      <c r="K53" s="273" t="s">
        <v>117</v>
      </c>
      <c r="M53" s="264" t="s">
        <v>176</v>
      </c>
      <c r="N53" s="227" t="s">
        <v>177</v>
      </c>
      <c r="O53" s="227" t="s">
        <v>109</v>
      </c>
      <c r="P53" s="321">
        <f>VLOOKUP($C$40,$S$42:$AV$59,30,FALSE)</f>
        <v>0</v>
      </c>
      <c r="Q53" s="317" t="s">
        <v>117</v>
      </c>
      <c r="S53" s="259" t="s">
        <v>417</v>
      </c>
      <c r="T53" s="259">
        <f>T51-T50</f>
        <v>2.8538020356953879</v>
      </c>
      <c r="U53" s="259" t="s">
        <v>418</v>
      </c>
      <c r="V53" s="259"/>
      <c r="W53" s="259"/>
      <c r="X53" s="259"/>
      <c r="Y53" s="320"/>
      <c r="Z53" s="259"/>
    </row>
    <row r="54" spans="1:26" ht="109.5" hidden="1" customHeight="1">
      <c r="A54" s="207" t="s">
        <v>178</v>
      </c>
      <c r="B54" s="208" t="s">
        <v>179</v>
      </c>
      <c r="C54" s="208">
        <v>0</v>
      </c>
      <c r="D54" s="230">
        <v>0</v>
      </c>
      <c r="E54" s="210"/>
      <c r="F54" s="203"/>
      <c r="G54" s="235" t="s">
        <v>180</v>
      </c>
      <c r="H54" s="220" t="s">
        <v>181</v>
      </c>
      <c r="I54" s="220" t="s">
        <v>182</v>
      </c>
      <c r="J54" s="265">
        <f>IF(P51=1,IF((D53=1)*(D47="TriggerWidth"),IF((D50&lt;=ROUNDUP(J43*6/1000,0))*(D50&gt;0),1,0),IF((MAX(J47,J48,J49,J50)-J52)&lt;J47,(IF((MAX(J47,J48,J49,J50)-J52)&gt;=(J47-ROUNDUP(6*J43/1000,0)),1,0)),0)),0)</f>
        <v>0</v>
      </c>
      <c r="K54" s="565" t="s">
        <v>122</v>
      </c>
      <c r="M54" s="276" t="s">
        <v>183</v>
      </c>
      <c r="N54" s="323" t="s">
        <v>184</v>
      </c>
      <c r="O54" s="323" t="s">
        <v>109</v>
      </c>
      <c r="P54" s="314">
        <f>VLOOKUP($C$40,$S$42:$AV$59,28,FALSE)</f>
        <v>1</v>
      </c>
      <c r="Q54" s="312" t="s">
        <v>140</v>
      </c>
      <c r="S54" s="259" t="s">
        <v>419</v>
      </c>
      <c r="T54" s="259">
        <f>T50-T52</f>
        <v>1.5603283514848627</v>
      </c>
      <c r="U54" s="259" t="s">
        <v>420</v>
      </c>
      <c r="V54" s="259"/>
      <c r="W54" s="259"/>
      <c r="X54" s="259"/>
      <c r="Y54" s="320"/>
      <c r="Z54" s="259"/>
    </row>
    <row r="55" spans="1:26" ht="111" hidden="1" customHeight="1">
      <c r="A55" s="1214" t="s">
        <v>185</v>
      </c>
      <c r="B55" s="1215"/>
      <c r="C55" s="1215"/>
      <c r="D55" s="1215"/>
      <c r="E55" s="1216"/>
      <c r="F55" s="203"/>
      <c r="G55" s="238" t="s">
        <v>186</v>
      </c>
      <c r="H55" s="225" t="s">
        <v>187</v>
      </c>
      <c r="I55" s="225" t="s">
        <v>188</v>
      </c>
      <c r="J55" s="277">
        <f>IF(J54=1,IF((D53=1)*(D47="TriggerWidth"),D50,J47-(MAX(J47,J48,J49,J50)-J52)),0)</f>
        <v>0</v>
      </c>
      <c r="K55" s="566" t="s">
        <v>117</v>
      </c>
      <c r="M55" s="1214" t="s">
        <v>189</v>
      </c>
      <c r="N55" s="1215"/>
      <c r="O55" s="1215"/>
      <c r="P55" s="1215"/>
      <c r="Q55" s="1216"/>
      <c r="S55" s="259"/>
      <c r="T55" s="259"/>
      <c r="U55" s="259"/>
      <c r="V55" s="259"/>
      <c r="W55" s="259"/>
      <c r="X55" s="259"/>
      <c r="Y55" s="320"/>
      <c r="Z55" s="259"/>
    </row>
    <row r="56" spans="1:26" ht="111" hidden="1" customHeight="1">
      <c r="A56" s="207" t="s">
        <v>190</v>
      </c>
      <c r="B56" s="208" t="s">
        <v>191</v>
      </c>
      <c r="C56" s="208">
        <v>0</v>
      </c>
      <c r="D56" s="209">
        <v>0</v>
      </c>
      <c r="E56" s="210" t="s">
        <v>117</v>
      </c>
      <c r="F56" s="203"/>
      <c r="G56" s="1214" t="s">
        <v>192</v>
      </c>
      <c r="H56" s="1215"/>
      <c r="I56" s="1215"/>
      <c r="J56" s="1215"/>
      <c r="K56" s="1216"/>
      <c r="M56" s="204" t="s">
        <v>91</v>
      </c>
      <c r="N56" s="205" t="s">
        <v>92</v>
      </c>
      <c r="O56" s="205" t="s">
        <v>93</v>
      </c>
      <c r="P56" s="205" t="s">
        <v>96</v>
      </c>
      <c r="Q56" s="308" t="s">
        <v>95</v>
      </c>
      <c r="S56" s="259"/>
      <c r="T56" s="259"/>
      <c r="U56" s="259"/>
      <c r="V56" s="259"/>
      <c r="W56" s="259"/>
      <c r="X56" s="259"/>
      <c r="Y56" s="336"/>
      <c r="Z56" s="336"/>
    </row>
    <row r="57" spans="1:26" ht="60.75" hidden="1" customHeight="1">
      <c r="A57" s="1214" t="s">
        <v>193</v>
      </c>
      <c r="B57" s="1215"/>
      <c r="C57" s="1215"/>
      <c r="D57" s="1215"/>
      <c r="E57" s="1216"/>
      <c r="F57" s="203"/>
      <c r="G57" s="250" t="s">
        <v>194</v>
      </c>
      <c r="H57" s="251" t="s">
        <v>195</v>
      </c>
      <c r="I57" s="251" t="s">
        <v>196</v>
      </c>
      <c r="J57" s="263">
        <f>J45*P74</f>
        <v>901236189.90743506</v>
      </c>
      <c r="K57" s="279" t="s">
        <v>197</v>
      </c>
      <c r="M57" s="211" t="s">
        <v>198</v>
      </c>
      <c r="N57" s="212" t="s">
        <v>199</v>
      </c>
      <c r="O57" s="212" t="s">
        <v>200</v>
      </c>
      <c r="P57" s="311">
        <v>7</v>
      </c>
      <c r="Q57" s="312" t="s">
        <v>201</v>
      </c>
      <c r="S57" s="259"/>
      <c r="T57" s="259"/>
      <c r="U57" s="259"/>
      <c r="V57" s="259"/>
      <c r="W57" s="259"/>
      <c r="X57" s="259"/>
      <c r="Y57" s="336"/>
      <c r="Z57" s="336"/>
    </row>
    <row r="58" spans="1:26" ht="30" hidden="1" customHeight="1">
      <c r="A58" s="211" t="s">
        <v>202</v>
      </c>
      <c r="B58" s="212" t="s">
        <v>203</v>
      </c>
      <c r="C58" s="212">
        <v>0</v>
      </c>
      <c r="D58" s="215">
        <v>0</v>
      </c>
      <c r="E58" s="234" t="s">
        <v>119</v>
      </c>
      <c r="F58" s="203"/>
      <c r="G58" s="280" t="s">
        <v>204</v>
      </c>
      <c r="H58" s="281" t="s">
        <v>205</v>
      </c>
      <c r="I58" s="220" t="s">
        <v>206</v>
      </c>
      <c r="J58" s="265">
        <f>J45*P81</f>
        <v>908116850.80123425</v>
      </c>
      <c r="K58" s="282" t="s">
        <v>197</v>
      </c>
      <c r="M58" s="264" t="s">
        <v>207</v>
      </c>
      <c r="N58" s="227" t="s">
        <v>208</v>
      </c>
      <c r="O58" s="227" t="s">
        <v>209</v>
      </c>
      <c r="P58" s="321">
        <v>1</v>
      </c>
      <c r="Q58" s="317" t="s">
        <v>201</v>
      </c>
      <c r="S58" s="259"/>
      <c r="T58" s="259"/>
      <c r="U58" s="259"/>
      <c r="V58" s="259"/>
      <c r="W58" s="259"/>
      <c r="X58" s="259"/>
      <c r="Y58" s="336"/>
      <c r="Z58" s="336"/>
    </row>
    <row r="59" spans="1:26" ht="30" hidden="1" customHeight="1">
      <c r="A59" s="235" t="s">
        <v>210</v>
      </c>
      <c r="B59" s="220" t="s">
        <v>211</v>
      </c>
      <c r="C59" s="220">
        <v>0</v>
      </c>
      <c r="D59" s="236">
        <v>0</v>
      </c>
      <c r="E59" s="237" t="s">
        <v>119</v>
      </c>
      <c r="F59" s="203"/>
      <c r="G59" s="283" t="s">
        <v>212</v>
      </c>
      <c r="H59" s="284" t="s">
        <v>213</v>
      </c>
      <c r="I59" s="225" t="s">
        <v>214</v>
      </c>
      <c r="J59" s="277">
        <f>1250*D67*(100-D70)</f>
        <v>1225000000</v>
      </c>
      <c r="K59" s="285" t="s">
        <v>197</v>
      </c>
      <c r="M59" s="264" t="s">
        <v>215</v>
      </c>
      <c r="N59" s="227" t="s">
        <v>216</v>
      </c>
      <c r="O59" s="227" t="s">
        <v>217</v>
      </c>
      <c r="P59" s="321">
        <v>14</v>
      </c>
      <c r="Q59" s="317" t="s">
        <v>201</v>
      </c>
    </row>
    <row r="60" spans="1:26" ht="30" hidden="1" customHeight="1">
      <c r="A60" s="235" t="s">
        <v>218</v>
      </c>
      <c r="B60" s="220" t="s">
        <v>19</v>
      </c>
      <c r="C60" s="220">
        <f>VLOOKUP($C$40,$S$42:$AU$59,23,FALSE)</f>
        <v>4192</v>
      </c>
      <c r="D60" s="236">
        <f>B4</f>
        <v>4192</v>
      </c>
      <c r="E60" s="237" t="s">
        <v>119</v>
      </c>
      <c r="F60" s="203"/>
      <c r="G60" s="1214" t="s">
        <v>219</v>
      </c>
      <c r="H60" s="1215"/>
      <c r="I60" s="1215"/>
      <c r="J60" s="1215"/>
      <c r="K60" s="1216"/>
      <c r="M60" s="264" t="s">
        <v>220</v>
      </c>
      <c r="N60" s="227" t="s">
        <v>221</v>
      </c>
      <c r="O60" s="227" t="s">
        <v>222</v>
      </c>
      <c r="P60" s="321">
        <v>20</v>
      </c>
      <c r="Q60" s="317" t="s">
        <v>201</v>
      </c>
      <c r="R60" s="259"/>
    </row>
    <row r="61" spans="1:26" ht="70.5" hidden="1" customHeight="1">
      <c r="A61" s="238" t="s">
        <v>223</v>
      </c>
      <c r="B61" s="225" t="s">
        <v>20</v>
      </c>
      <c r="C61" s="225">
        <f>VLOOKUP($C$40,$S$42:$AU$59,24,FALSE)</f>
        <v>2160</v>
      </c>
      <c r="D61" s="239">
        <f>B5</f>
        <v>2160</v>
      </c>
      <c r="E61" s="219" t="s">
        <v>119</v>
      </c>
      <c r="F61" s="203"/>
      <c r="G61" s="286" t="s">
        <v>224</v>
      </c>
      <c r="H61" s="287" t="s">
        <v>225</v>
      </c>
      <c r="I61" s="251" t="s">
        <v>226</v>
      </c>
      <c r="J61" s="263">
        <f>IF(D67=10000,0,IF(D67=5000,1,IF(D67=2500,2,IF(D67=1000,3,3))))</f>
        <v>0</v>
      </c>
      <c r="K61" s="279" t="s">
        <v>163</v>
      </c>
      <c r="M61" s="264" t="s">
        <v>227</v>
      </c>
      <c r="N61" s="227" t="s">
        <v>228</v>
      </c>
      <c r="O61" s="227" t="s">
        <v>229</v>
      </c>
      <c r="P61" s="321">
        <v>8</v>
      </c>
      <c r="Q61" s="317" t="s">
        <v>201</v>
      </c>
      <c r="R61" s="259"/>
    </row>
    <row r="62" spans="1:26" ht="45" hidden="1" customHeight="1">
      <c r="A62" s="1214" t="s">
        <v>230</v>
      </c>
      <c r="B62" s="1215"/>
      <c r="C62" s="1215"/>
      <c r="D62" s="1215"/>
      <c r="E62" s="1216"/>
      <c r="F62" s="203"/>
      <c r="G62" s="288" t="s">
        <v>231</v>
      </c>
      <c r="H62" s="289" t="s">
        <v>232</v>
      </c>
      <c r="I62" s="223" t="s">
        <v>233</v>
      </c>
      <c r="J62" s="290">
        <f>ROUNDUP(D69*VLOOKUP($C$40,$S$42:$AU$45,27,FALSE)/1000,0)</f>
        <v>0</v>
      </c>
      <c r="K62" s="291" t="s">
        <v>154</v>
      </c>
      <c r="M62" s="264" t="s">
        <v>234</v>
      </c>
      <c r="N62" s="227" t="s">
        <v>235</v>
      </c>
      <c r="O62" s="227" t="s">
        <v>229</v>
      </c>
      <c r="P62" s="321">
        <v>8</v>
      </c>
      <c r="Q62" s="317" t="s">
        <v>201</v>
      </c>
      <c r="R62" s="259"/>
    </row>
    <row r="63" spans="1:26" ht="45.75" hidden="1" customHeight="1">
      <c r="A63" s="240" t="s">
        <v>236</v>
      </c>
      <c r="B63" s="241" t="s">
        <v>237</v>
      </c>
      <c r="C63" s="242">
        <v>0</v>
      </c>
      <c r="D63" s="243">
        <v>0</v>
      </c>
      <c r="E63" s="244" t="s">
        <v>122</v>
      </c>
      <c r="F63" s="203"/>
      <c r="G63" s="1214" t="s">
        <v>238</v>
      </c>
      <c r="H63" s="1215"/>
      <c r="I63" s="1215"/>
      <c r="J63" s="1215"/>
      <c r="K63" s="1216"/>
      <c r="M63" s="264" t="s">
        <v>239</v>
      </c>
      <c r="N63" s="227" t="s">
        <v>240</v>
      </c>
      <c r="O63" s="227" t="s">
        <v>241</v>
      </c>
      <c r="P63" s="321">
        <v>4</v>
      </c>
      <c r="Q63" s="317" t="s">
        <v>201</v>
      </c>
    </row>
    <row r="64" spans="1:26" ht="48" hidden="1" customHeight="1">
      <c r="A64" s="1214" t="s">
        <v>242</v>
      </c>
      <c r="B64" s="1215"/>
      <c r="C64" s="1215"/>
      <c r="D64" s="1215"/>
      <c r="E64" s="1216"/>
      <c r="F64" s="203"/>
      <c r="G64" s="292" t="s">
        <v>243</v>
      </c>
      <c r="H64" s="293" t="s">
        <v>244</v>
      </c>
      <c r="I64" s="294" t="s">
        <v>245</v>
      </c>
      <c r="J64" s="295">
        <f>IF(ROUNDUP(P88*1000*8/D67,0)&gt;200000000,200000000,ROUNDUP(P88*1000*8/D67,0))</f>
        <v>8766966</v>
      </c>
      <c r="K64" s="296" t="s">
        <v>106</v>
      </c>
      <c r="M64" s="264" t="s">
        <v>246</v>
      </c>
      <c r="N64" s="227" t="s">
        <v>247</v>
      </c>
      <c r="O64" s="227" t="s">
        <v>248</v>
      </c>
      <c r="P64" s="321">
        <v>12</v>
      </c>
      <c r="Q64" s="317" t="s">
        <v>201</v>
      </c>
    </row>
    <row r="65" spans="1:24" ht="69.75" hidden="1" customHeight="1">
      <c r="A65" s="245" t="s">
        <v>249</v>
      </c>
      <c r="B65" s="246" t="s">
        <v>250</v>
      </c>
      <c r="C65" s="247">
        <v>0</v>
      </c>
      <c r="D65" s="248">
        <v>0</v>
      </c>
      <c r="E65" s="249" t="s">
        <v>122</v>
      </c>
      <c r="G65" s="1214" t="s">
        <v>251</v>
      </c>
      <c r="H65" s="1215"/>
      <c r="I65" s="1215"/>
      <c r="J65" s="1215"/>
      <c r="K65" s="1216"/>
      <c r="M65" s="264" t="s">
        <v>252</v>
      </c>
      <c r="N65" s="220" t="s">
        <v>253</v>
      </c>
      <c r="O65" s="227" t="s">
        <v>254</v>
      </c>
      <c r="P65" s="321">
        <f>P60+P61+P62</f>
        <v>36</v>
      </c>
      <c r="Q65" s="317" t="s">
        <v>201</v>
      </c>
      <c r="S65" s="1214" t="s">
        <v>255</v>
      </c>
      <c r="T65" s="1215"/>
      <c r="U65" s="1215"/>
      <c r="V65" s="1215"/>
      <c r="W65" s="1215"/>
      <c r="X65" s="1217"/>
    </row>
    <row r="66" spans="1:24" ht="62.25" hidden="1" customHeight="1">
      <c r="A66" s="1214" t="s">
        <v>256</v>
      </c>
      <c r="B66" s="1215"/>
      <c r="C66" s="1215"/>
      <c r="D66" s="1215"/>
      <c r="E66" s="1216"/>
      <c r="G66" s="292" t="s">
        <v>257</v>
      </c>
      <c r="H66" s="293" t="s">
        <v>251</v>
      </c>
      <c r="I66" s="294" t="s">
        <v>258</v>
      </c>
      <c r="J66" s="295">
        <f>IF((100-ROUNDDOWN(10*P83/(125000*D67),0)-1)&lt;0,0,(100-ROUNDDOWN(10*P83/(125000*D67),0)-1))</f>
        <v>99</v>
      </c>
      <c r="K66" s="296" t="s">
        <v>259</v>
      </c>
      <c r="M66" s="264" t="s">
        <v>260</v>
      </c>
      <c r="N66" s="220" t="s">
        <v>261</v>
      </c>
      <c r="O66" s="227" t="s">
        <v>262</v>
      </c>
      <c r="P66" s="321">
        <f>P57+P58+P59+P63</f>
        <v>26</v>
      </c>
      <c r="Q66" s="317" t="s">
        <v>201</v>
      </c>
      <c r="S66" s="204" t="s">
        <v>263</v>
      </c>
      <c r="T66" s="205" t="s">
        <v>264</v>
      </c>
      <c r="U66" s="205" t="s">
        <v>92</v>
      </c>
      <c r="V66" s="205" t="s">
        <v>93</v>
      </c>
      <c r="W66" s="337" t="s">
        <v>265</v>
      </c>
      <c r="X66" s="206" t="s">
        <v>266</v>
      </c>
    </row>
    <row r="67" spans="1:24" ht="50.25" hidden="1" customHeight="1">
      <c r="A67" s="250" t="s">
        <v>267</v>
      </c>
      <c r="B67" s="251" t="s">
        <v>268</v>
      </c>
      <c r="C67" s="252" t="s">
        <v>122</v>
      </c>
      <c r="D67" s="253">
        <f>B11</f>
        <v>10000</v>
      </c>
      <c r="E67" s="214" t="s">
        <v>269</v>
      </c>
      <c r="G67" s="1214" t="s">
        <v>270</v>
      </c>
      <c r="H67" s="1215"/>
      <c r="I67" s="1215"/>
      <c r="J67" s="1215"/>
      <c r="K67" s="1216"/>
      <c r="M67" s="216" t="s">
        <v>271</v>
      </c>
      <c r="N67" s="217" t="s">
        <v>272</v>
      </c>
      <c r="O67" s="217" t="s">
        <v>273</v>
      </c>
      <c r="P67" s="270">
        <f>64-P59-P63-P65</f>
        <v>10</v>
      </c>
      <c r="Q67" s="324" t="s">
        <v>201</v>
      </c>
      <c r="S67" s="325" t="s">
        <v>274</v>
      </c>
      <c r="T67" s="251" t="str">
        <f>IF(OR(C41="A7",C41="KU3P"),"0x01001004","0x77601654")</f>
        <v>0x01001004</v>
      </c>
      <c r="U67" s="326" t="s">
        <v>275</v>
      </c>
      <c r="V67" s="212" t="s">
        <v>147</v>
      </c>
      <c r="W67" s="338" t="str">
        <f>DEC2HEX(J53)</f>
        <v>0</v>
      </c>
      <c r="X67" s="339"/>
    </row>
    <row r="68" spans="1:24" ht="156" hidden="1" customHeight="1">
      <c r="A68" s="235" t="s">
        <v>276</v>
      </c>
      <c r="B68" s="220" t="s">
        <v>34</v>
      </c>
      <c r="C68" s="254">
        <v>1500</v>
      </c>
      <c r="D68" s="236">
        <f>B18</f>
        <v>8164</v>
      </c>
      <c r="E68" s="237" t="s">
        <v>201</v>
      </c>
      <c r="G68" s="286" t="s">
        <v>277</v>
      </c>
      <c r="H68" s="287" t="s">
        <v>278</v>
      </c>
      <c r="I68" s="251" t="s">
        <v>279</v>
      </c>
      <c r="J68" s="297" t="str">
        <f>IF((D53=1)*(D47="TriggerWidth"),ROUNDUP(J47+MAX(D50,D51)-(D50-P48*J43/1000)*(D50&gt;ROUNDUP(6*J43/1000,0)),0),"null")</f>
        <v>null</v>
      </c>
      <c r="K68" s="298" t="s">
        <v>117</v>
      </c>
      <c r="M68" s="1214" t="s">
        <v>280</v>
      </c>
      <c r="N68" s="1215"/>
      <c r="O68" s="1215"/>
      <c r="P68" s="1215"/>
      <c r="Q68" s="1216"/>
      <c r="S68" s="327" t="s">
        <v>281</v>
      </c>
      <c r="T68" s="220" t="str">
        <f>IF(OR(C41="A7",C41="KU3P"),"0x01001008","0x77601658")</f>
        <v>0x01001008</v>
      </c>
      <c r="U68" s="328" t="s">
        <v>282</v>
      </c>
      <c r="V68" s="227" t="s">
        <v>141</v>
      </c>
      <c r="W68" s="340" t="str">
        <f>DEC2HEX(J52)</f>
        <v>270F</v>
      </c>
      <c r="X68" s="341"/>
    </row>
    <row r="69" spans="1:24" ht="84.75" hidden="1" customHeight="1">
      <c r="A69" s="235" t="str">
        <f>"流通道包间隔 
范围:0"&amp;"-"&amp;J64</f>
        <v>流通道包间隔 
范围:0-8766966</v>
      </c>
      <c r="B69" s="220" t="s">
        <v>32</v>
      </c>
      <c r="C69" s="254">
        <v>0</v>
      </c>
      <c r="D69" s="236">
        <f>B16</f>
        <v>0</v>
      </c>
      <c r="E69" s="237" t="s">
        <v>106</v>
      </c>
      <c r="G69" s="288" t="s">
        <v>283</v>
      </c>
      <c r="H69" s="289" t="s">
        <v>284</v>
      </c>
      <c r="I69" s="223" t="s">
        <v>285</v>
      </c>
      <c r="J69" s="299" t="str">
        <f>IF((D53=1)*(D47="TriggerWidth"),MAX(D50,D51)+P49/P43,"null")</f>
        <v>null</v>
      </c>
      <c r="K69" s="291" t="s">
        <v>117</v>
      </c>
      <c r="M69" s="204" t="s">
        <v>91</v>
      </c>
      <c r="N69" s="205" t="s">
        <v>92</v>
      </c>
      <c r="O69" s="205" t="s">
        <v>93</v>
      </c>
      <c r="P69" s="205" t="s">
        <v>96</v>
      </c>
      <c r="Q69" s="308" t="s">
        <v>95</v>
      </c>
      <c r="S69" s="327" t="s">
        <v>286</v>
      </c>
      <c r="T69" s="220" t="str">
        <f>IF(OR(C41="A7",C41="KU3P"),"0x01001010","0x7760165c")</f>
        <v>0x01001010</v>
      </c>
      <c r="U69" s="328" t="s">
        <v>287</v>
      </c>
      <c r="V69" s="227" t="s">
        <v>114</v>
      </c>
      <c r="W69" s="340" t="str">
        <f>DEC2HEX(MAX(J47,J48,J49,J50))</f>
        <v>273F</v>
      </c>
      <c r="X69" s="341"/>
    </row>
    <row r="70" spans="1:24" ht="57" hidden="1" customHeight="1">
      <c r="A70" s="238" t="str">
        <f>"预留带宽 
范围:0-"&amp;J66</f>
        <v>预留带宽 
范围:0-99</v>
      </c>
      <c r="B70" s="225" t="s">
        <v>30</v>
      </c>
      <c r="C70" s="257">
        <v>2</v>
      </c>
      <c r="D70" s="239">
        <f>B14</f>
        <v>2</v>
      </c>
      <c r="E70" s="219" t="s">
        <v>259</v>
      </c>
      <c r="M70" s="211" t="s">
        <v>288</v>
      </c>
      <c r="N70" s="251" t="s">
        <v>289</v>
      </c>
      <c r="O70" s="212" t="s">
        <v>290</v>
      </c>
      <c r="P70" s="311">
        <f>36</f>
        <v>36</v>
      </c>
      <c r="Q70" s="312" t="s">
        <v>201</v>
      </c>
      <c r="S70" s="327" t="s">
        <v>291</v>
      </c>
      <c r="T70" s="220" t="str">
        <f>IF(OR(C41="A7",C41="KU3P"),"0x01001014","0x77601850")</f>
        <v>0x01001014</v>
      </c>
      <c r="U70" s="328" t="s">
        <v>292</v>
      </c>
      <c r="V70" s="227" t="s">
        <v>114</v>
      </c>
      <c r="W70" s="340" t="str">
        <f>IF(D47="TriggerWidth",DEC2HEX(MAX(J47,J49)),IF(D54=0,DEC2HEX(MAX(J47,J48,IF(D65=1,0,J49))),DEC2HEX(MAX(J47,J48,IF(D65=1,0,J49),J50))))</f>
        <v>273F</v>
      </c>
      <c r="X70" s="341"/>
    </row>
    <row r="71" spans="1:24" ht="75.75" hidden="1" customHeight="1">
      <c r="A71" s="1214" t="s">
        <v>293</v>
      </c>
      <c r="B71" s="1215"/>
      <c r="C71" s="1215"/>
      <c r="D71" s="1215"/>
      <c r="E71" s="1216"/>
      <c r="M71" s="264" t="s">
        <v>294</v>
      </c>
      <c r="N71" s="220" t="s">
        <v>295</v>
      </c>
      <c r="O71" s="227" t="s">
        <v>296</v>
      </c>
      <c r="P71" s="321">
        <v>10</v>
      </c>
      <c r="Q71" s="317" t="s">
        <v>201</v>
      </c>
      <c r="S71" s="327" t="s">
        <v>297</v>
      </c>
      <c r="T71" s="220" t="str">
        <f>IF(OR(C41="A7",C41="KU3P"),"0x01001018","待定")</f>
        <v>0x01001018</v>
      </c>
      <c r="U71" s="328" t="s">
        <v>298</v>
      </c>
      <c r="V71" s="220" t="s">
        <v>114</v>
      </c>
      <c r="W71" s="340" t="str">
        <f>DEC2HEX(MAX(J47,J48))</f>
        <v>273F</v>
      </c>
      <c r="X71" s="341"/>
    </row>
    <row r="72" spans="1:24" ht="50.1" hidden="1" customHeight="1">
      <c r="A72" s="211" t="s">
        <v>299</v>
      </c>
      <c r="B72" s="212" t="s">
        <v>300</v>
      </c>
      <c r="C72" s="212">
        <v>0</v>
      </c>
      <c r="D72" s="215">
        <f>B12</f>
        <v>0</v>
      </c>
      <c r="E72" s="234" t="s">
        <v>122</v>
      </c>
      <c r="M72" s="305" t="s">
        <v>301</v>
      </c>
      <c r="N72" s="329" t="s">
        <v>302</v>
      </c>
      <c r="O72" s="329" t="s">
        <v>303</v>
      </c>
      <c r="P72" s="265">
        <v>60</v>
      </c>
      <c r="Q72" s="282" t="s">
        <v>201</v>
      </c>
      <c r="S72" s="327" t="s">
        <v>304</v>
      </c>
      <c r="T72" s="220" t="str">
        <f>IF(OR(C41="A7",C41="KU3P"),"0x0100100C","0x7760185C")</f>
        <v>0x0100100C</v>
      </c>
      <c r="U72" s="328" t="s">
        <v>305</v>
      </c>
      <c r="V72" s="227" t="s">
        <v>135</v>
      </c>
      <c r="W72" s="340" t="str">
        <f>DEC2HEX(J47)</f>
        <v>2071</v>
      </c>
      <c r="X72" s="341"/>
    </row>
    <row r="73" spans="1:24" ht="75" hidden="1" customHeight="1">
      <c r="A73" s="216" t="s">
        <v>293</v>
      </c>
      <c r="B73" s="217" t="s">
        <v>306</v>
      </c>
      <c r="C73" s="217">
        <f>VLOOKUP($C$40,$S$42:$AU$59,25,FALSE)</f>
        <v>117</v>
      </c>
      <c r="D73" s="218">
        <f>B13</f>
        <v>120</v>
      </c>
      <c r="E73" s="258" t="s">
        <v>125</v>
      </c>
      <c r="M73" s="235" t="s">
        <v>307</v>
      </c>
      <c r="N73" s="220" t="s">
        <v>308</v>
      </c>
      <c r="O73" s="220" t="s">
        <v>309</v>
      </c>
      <c r="P73" s="265">
        <f>D60*D61*IF(D45=8,1,2)</f>
        <v>9054720</v>
      </c>
      <c r="Q73" s="317" t="s">
        <v>201</v>
      </c>
      <c r="S73" s="330" t="s">
        <v>310</v>
      </c>
      <c r="T73" s="220" t="str">
        <f>IF(OR(C41="A7",C41="KU3P"),"0x0100101C","0x77601860")</f>
        <v>0x0100101C</v>
      </c>
      <c r="U73" s="328" t="s">
        <v>311</v>
      </c>
      <c r="V73" s="227" t="s">
        <v>312</v>
      </c>
      <c r="W73" s="342" t="str">
        <f>DEC2HEX(IF(P51=1,ROUNDUP(6*J43/1000,0),0))</f>
        <v>17</v>
      </c>
      <c r="X73" s="341"/>
    </row>
    <row r="74" spans="1:24" ht="43.5" hidden="1" customHeight="1">
      <c r="A74" s="1214" t="s">
        <v>313</v>
      </c>
      <c r="B74" s="1215"/>
      <c r="C74" s="1215"/>
      <c r="D74" s="1215"/>
      <c r="E74" s="1216"/>
      <c r="G74" s="1218"/>
      <c r="H74" s="1218"/>
      <c r="I74" s="1218"/>
      <c r="J74" s="1218"/>
      <c r="K74" s="1218"/>
      <c r="M74" s="264" t="s">
        <v>314</v>
      </c>
      <c r="N74" s="220" t="s">
        <v>315</v>
      </c>
      <c r="O74" s="220" t="s">
        <v>316</v>
      </c>
      <c r="P74" s="321">
        <f>P73+P72*D63</f>
        <v>9054720</v>
      </c>
      <c r="Q74" s="317" t="s">
        <v>201</v>
      </c>
      <c r="S74" s="330" t="s">
        <v>317</v>
      </c>
      <c r="T74" s="220" t="str">
        <f>IF(OR(C41="A7",C41="KU3P"),"0x01100000","0x77601500")</f>
        <v>0x01100000</v>
      </c>
      <c r="U74" s="328" t="s">
        <v>318</v>
      </c>
      <c r="V74" s="220" t="s">
        <v>122</v>
      </c>
      <c r="W74" s="340" t="s">
        <v>319</v>
      </c>
      <c r="X74" s="341"/>
    </row>
    <row r="75" spans="1:24" ht="60" hidden="1" customHeight="1">
      <c r="A75" s="211" t="s">
        <v>320</v>
      </c>
      <c r="B75" s="212" t="s">
        <v>321</v>
      </c>
      <c r="C75" s="212">
        <v>1</v>
      </c>
      <c r="D75" s="215">
        <f>B7</f>
        <v>1</v>
      </c>
      <c r="E75" s="234" t="s">
        <v>122</v>
      </c>
      <c r="G75" s="569"/>
      <c r="H75" s="570"/>
      <c r="I75" s="336"/>
      <c r="J75" s="336"/>
      <c r="K75" s="336"/>
      <c r="M75" s="264" t="s">
        <v>322</v>
      </c>
      <c r="N75" s="220" t="s">
        <v>323</v>
      </c>
      <c r="O75" s="227" t="s">
        <v>324</v>
      </c>
      <c r="P75" s="331">
        <f>INT(P74/(D68-P65))</f>
        <v>1114</v>
      </c>
      <c r="Q75" s="317" t="s">
        <v>421</v>
      </c>
      <c r="S75" s="332" t="s">
        <v>325</v>
      </c>
      <c r="T75" s="220" t="str">
        <f>IF(OR(C41="A7",C41="KU3P"),"0x01100010","0x7760147C")</f>
        <v>0x01100010</v>
      </c>
      <c r="U75" s="571" t="s">
        <v>326</v>
      </c>
      <c r="V75" s="217" t="s">
        <v>327</v>
      </c>
      <c r="W75" s="345" t="str">
        <f>DEC2HEX(ROUNDUP(J43*P43/1000,0)-D60/VLOOKUP($C$40,$S$42:$AU$59,5,FALSE)/VLOOKUP($C$40,$S$42:$AU$59,6,FALSE))</f>
        <v>2A</v>
      </c>
      <c r="X75" s="341"/>
    </row>
    <row r="76" spans="1:24" ht="126.75" hidden="1" customHeight="1">
      <c r="A76" s="216" t="s">
        <v>328</v>
      </c>
      <c r="B76" s="217" t="s">
        <v>329</v>
      </c>
      <c r="C76" s="217">
        <v>1</v>
      </c>
      <c r="D76" s="218">
        <f>B8</f>
        <v>1</v>
      </c>
      <c r="E76" s="258" t="s">
        <v>122</v>
      </c>
      <c r="M76" s="264" t="s">
        <v>330</v>
      </c>
      <c r="N76" s="220" t="s">
        <v>331</v>
      </c>
      <c r="O76" s="227" t="s">
        <v>332</v>
      </c>
      <c r="P76" s="331">
        <f>P74-(D68-P65)*P75</f>
        <v>128</v>
      </c>
      <c r="Q76" s="317" t="s">
        <v>201</v>
      </c>
      <c r="S76" s="330" t="s">
        <v>333</v>
      </c>
      <c r="T76" s="220" t="s">
        <v>334</v>
      </c>
      <c r="U76" s="220" t="s">
        <v>335</v>
      </c>
      <c r="V76" s="220" t="s">
        <v>336</v>
      </c>
      <c r="W76" s="342" t="str">
        <f>"0x"&amp;DEC2HEX(D68-P65)</f>
        <v>0x1FC0</v>
      </c>
      <c r="X76" s="343" t="s">
        <v>337</v>
      </c>
    </row>
    <row r="77" spans="1:24" ht="30" hidden="1" customHeight="1">
      <c r="A77" s="1214" t="s">
        <v>338</v>
      </c>
      <c r="B77" s="1215"/>
      <c r="C77" s="1215"/>
      <c r="D77" s="1215"/>
      <c r="E77" s="1216"/>
      <c r="M77" s="264" t="s">
        <v>339</v>
      </c>
      <c r="N77" s="220" t="s">
        <v>340</v>
      </c>
      <c r="O77" s="227" t="s">
        <v>341</v>
      </c>
      <c r="P77" s="321">
        <f>IF(MOD(P73,(D68-P65))=0,0,1)</f>
        <v>1</v>
      </c>
      <c r="Q77" s="317" t="s">
        <v>421</v>
      </c>
      <c r="S77" s="330" t="s">
        <v>342</v>
      </c>
      <c r="T77" s="220" t="s">
        <v>343</v>
      </c>
      <c r="U77" s="220" t="s">
        <v>344</v>
      </c>
      <c r="V77" s="220" t="s">
        <v>345</v>
      </c>
      <c r="W77" s="342" t="str">
        <f>"0x"&amp;DEC2HEX(J62)</f>
        <v>0x0</v>
      </c>
      <c r="X77" s="1226" t="s">
        <v>346</v>
      </c>
    </row>
    <row r="78" spans="1:24" ht="99.75" hidden="1" customHeight="1">
      <c r="A78" s="211" t="s">
        <v>347</v>
      </c>
      <c r="B78" s="212" t="s">
        <v>348</v>
      </c>
      <c r="C78" s="212">
        <v>1</v>
      </c>
      <c r="D78" s="215">
        <f>B6</f>
        <v>1</v>
      </c>
      <c r="E78" s="234" t="s">
        <v>122</v>
      </c>
      <c r="M78" s="264" t="s">
        <v>349</v>
      </c>
      <c r="N78" s="220" t="s">
        <v>350</v>
      </c>
      <c r="O78" s="227" t="s">
        <v>351</v>
      </c>
      <c r="P78" s="331">
        <f>IF(P76&lt;P67,P67,P76)</f>
        <v>128</v>
      </c>
      <c r="Q78" s="317" t="s">
        <v>201</v>
      </c>
      <c r="S78" s="332" t="s">
        <v>352</v>
      </c>
      <c r="T78" s="225" t="s">
        <v>353</v>
      </c>
      <c r="U78" s="225" t="s">
        <v>354</v>
      </c>
      <c r="V78" s="225" t="s">
        <v>355</v>
      </c>
      <c r="W78" s="345" t="str">
        <f>"0x"&amp;DEC2HEX(J61)</f>
        <v>0x0</v>
      </c>
      <c r="X78" s="1227"/>
    </row>
    <row r="79" spans="1:24" ht="30" hidden="1" customHeight="1">
      <c r="A79" s="216" t="s">
        <v>356</v>
      </c>
      <c r="B79" s="217" t="s">
        <v>357</v>
      </c>
      <c r="C79" s="217">
        <v>1</v>
      </c>
      <c r="D79" s="218">
        <v>1</v>
      </c>
      <c r="E79" s="258" t="s">
        <v>122</v>
      </c>
      <c r="M79" s="264" t="s">
        <v>358</v>
      </c>
      <c r="N79" s="220" t="s">
        <v>359</v>
      </c>
      <c r="O79" s="227" t="s">
        <v>360</v>
      </c>
      <c r="P79" s="331">
        <f>P66+P65+P70</f>
        <v>98</v>
      </c>
      <c r="Q79" s="317" t="s">
        <v>201</v>
      </c>
      <c r="S79" s="330" t="s">
        <v>361</v>
      </c>
      <c r="T79" s="220" t="s">
        <v>362</v>
      </c>
      <c r="U79" s="220" t="s">
        <v>363</v>
      </c>
      <c r="V79" s="220" t="s">
        <v>364</v>
      </c>
      <c r="W79" s="220" t="str">
        <f>"0x"&amp;DEC2HEX(D50)</f>
        <v>0x0</v>
      </c>
      <c r="X79" s="572"/>
    </row>
    <row r="80" spans="1:24" ht="30" hidden="1" customHeight="1">
      <c r="A80" s="1219" t="s">
        <v>365</v>
      </c>
      <c r="B80" s="1220"/>
      <c r="C80" s="1220"/>
      <c r="D80" s="1220"/>
      <c r="E80" s="1221"/>
      <c r="M80" s="264" t="s">
        <v>366</v>
      </c>
      <c r="N80" s="220" t="s">
        <v>367</v>
      </c>
      <c r="O80" s="227" t="s">
        <v>368</v>
      </c>
      <c r="P80" s="331">
        <f>P66+P65+P71</f>
        <v>72</v>
      </c>
      <c r="Q80" s="317" t="s">
        <v>201</v>
      </c>
      <c r="S80" s="386" t="s">
        <v>369</v>
      </c>
      <c r="T80" s="223" t="s">
        <v>370</v>
      </c>
      <c r="U80" s="223" t="s">
        <v>371</v>
      </c>
      <c r="V80" s="223" t="s">
        <v>372</v>
      </c>
      <c r="W80" s="223" t="str">
        <f>"0x"&amp;IF((D53=1)*(D47="TriggerWidth"),1,0)</f>
        <v>0x0</v>
      </c>
      <c r="X80" s="573"/>
    </row>
    <row r="81" spans="1:17" ht="52.5" hidden="1" customHeight="1">
      <c r="A81" s="374" t="s">
        <v>58</v>
      </c>
      <c r="B81" s="1222" t="s">
        <v>373</v>
      </c>
      <c r="C81" s="1222"/>
      <c r="D81" s="1223">
        <f>J45</f>
        <v>99.532198666268542</v>
      </c>
      <c r="E81" s="1224"/>
      <c r="M81" s="264" t="s">
        <v>374</v>
      </c>
      <c r="N81" s="220" t="s">
        <v>375</v>
      </c>
      <c r="O81" s="227" t="s">
        <v>376</v>
      </c>
      <c r="P81" s="331">
        <f>P75*(D68+P66)+P77*(P78+P66+P65)</f>
        <v>9123850</v>
      </c>
      <c r="Q81" s="317" t="s">
        <v>201</v>
      </c>
    </row>
    <row r="82" spans="1:17" ht="66.75" hidden="1" customHeight="1">
      <c r="M82" s="235" t="s">
        <v>377</v>
      </c>
      <c r="N82" s="220" t="s">
        <v>378</v>
      </c>
      <c r="O82" s="220" t="s">
        <v>379</v>
      </c>
      <c r="P82" s="390">
        <f>(2+P77+P75)*P87</f>
        <v>22340</v>
      </c>
      <c r="Q82" s="282" t="s">
        <v>201</v>
      </c>
    </row>
    <row r="83" spans="1:17" ht="45" hidden="1" customHeight="1">
      <c r="M83" s="235" t="s">
        <v>380</v>
      </c>
      <c r="N83" s="220" t="s">
        <v>381</v>
      </c>
      <c r="O83" s="220" t="s">
        <v>382</v>
      </c>
      <c r="P83" s="265">
        <f>P79+P80+P81+P82</f>
        <v>9146360</v>
      </c>
      <c r="Q83" s="282" t="s">
        <v>201</v>
      </c>
    </row>
    <row r="84" spans="1:17" ht="45" hidden="1" customHeight="1">
      <c r="I84" s="203"/>
      <c r="M84" s="235" t="s">
        <v>383</v>
      </c>
      <c r="N84" s="220" t="s">
        <v>384</v>
      </c>
      <c r="O84" s="220" t="s">
        <v>385</v>
      </c>
      <c r="P84" s="265">
        <f>INT(1000000*D67*(100-D70)/80)</f>
        <v>12250000000</v>
      </c>
      <c r="Q84" s="282" t="s">
        <v>386</v>
      </c>
    </row>
    <row r="85" spans="1:17" ht="45" hidden="1" customHeight="1">
      <c r="M85" s="238" t="s">
        <v>387</v>
      </c>
      <c r="N85" s="225" t="s">
        <v>388</v>
      </c>
      <c r="O85" s="225" t="s">
        <v>389</v>
      </c>
      <c r="P85" s="277">
        <f>ROUNDUP(P83*1000000/P84,0)*10</f>
        <v>7470</v>
      </c>
      <c r="Q85" s="219" t="s">
        <v>117</v>
      </c>
    </row>
    <row r="86" spans="1:17" ht="60" hidden="1" customHeight="1">
      <c r="M86" s="1214" t="s">
        <v>390</v>
      </c>
      <c r="N86" s="1215"/>
      <c r="O86" s="1215"/>
      <c r="P86" s="1215"/>
      <c r="Q86" s="1216"/>
    </row>
    <row r="87" spans="1:17" ht="78" hidden="1" customHeight="1">
      <c r="M87" s="280" t="s">
        <v>391</v>
      </c>
      <c r="N87" s="391" t="s">
        <v>392</v>
      </c>
      <c r="O87" s="220" t="s">
        <v>393</v>
      </c>
      <c r="P87" s="265">
        <f>MAX(ROUNDUP(D69*D67/1000/8,0),P64+8)</f>
        <v>20</v>
      </c>
      <c r="Q87" s="282" t="s">
        <v>394</v>
      </c>
    </row>
    <row r="88" spans="1:17" ht="71.25" hidden="1" customHeight="1">
      <c r="M88" s="288" t="s">
        <v>395</v>
      </c>
      <c r="N88" s="289" t="s">
        <v>396</v>
      </c>
      <c r="O88" s="223" t="s">
        <v>397</v>
      </c>
      <c r="P88" s="290">
        <f>ROUNDDOWN((P84-(P81+P80+P79))/(P75+P77+2),0)</f>
        <v>10958707</v>
      </c>
      <c r="Q88" s="291" t="s">
        <v>394</v>
      </c>
    </row>
    <row r="89" spans="1:17" ht="30" hidden="1" customHeight="1"/>
    <row r="90" spans="1:17" ht="45" customHeight="1"/>
    <row r="92" spans="1:17" ht="45" customHeight="1"/>
    <row r="93" spans="1:17" ht="60" customHeight="1"/>
    <row r="115" spans="1:9" ht="30" customHeight="1">
      <c r="G115" s="384"/>
      <c r="H115" s="1225"/>
      <c r="I115" s="1225"/>
    </row>
    <row r="116" spans="1:9" ht="30" customHeight="1">
      <c r="G116" s="384"/>
      <c r="H116" s="384"/>
      <c r="I116" s="384"/>
    </row>
    <row r="117" spans="1:9" ht="30" customHeight="1">
      <c r="G117" s="384"/>
      <c r="H117" s="384"/>
      <c r="I117" s="384"/>
    </row>
    <row r="118" spans="1:9" ht="30" customHeight="1">
      <c r="G118" s="384"/>
      <c r="H118" s="384"/>
      <c r="I118" s="384"/>
    </row>
    <row r="119" spans="1:9" ht="30" customHeight="1">
      <c r="G119" s="384"/>
      <c r="H119" s="384"/>
      <c r="I119" s="384"/>
    </row>
    <row r="120" spans="1:9" ht="30" customHeight="1">
      <c r="G120" s="384"/>
      <c r="H120" s="1225"/>
      <c r="I120" s="1225"/>
    </row>
    <row r="121" spans="1:9" ht="30" customHeight="1">
      <c r="F121" s="385"/>
      <c r="G121" s="384"/>
      <c r="H121" s="384"/>
      <c r="I121" s="384"/>
    </row>
    <row r="122" spans="1:9" ht="30" customHeight="1">
      <c r="A122" s="384"/>
      <c r="B122" s="384"/>
      <c r="C122" s="384"/>
      <c r="D122" s="384"/>
      <c r="F122" s="384"/>
      <c r="G122" s="384"/>
      <c r="H122" s="384"/>
      <c r="I122" s="384"/>
    </row>
    <row r="123" spans="1:9" ht="30" customHeight="1">
      <c r="A123" s="384"/>
      <c r="B123" s="384"/>
      <c r="C123" s="384"/>
      <c r="D123" s="384"/>
      <c r="F123" s="384"/>
      <c r="G123" s="384"/>
      <c r="H123" s="384"/>
      <c r="I123" s="384"/>
    </row>
    <row r="124" spans="1:9" ht="30" customHeight="1">
      <c r="A124" s="384"/>
      <c r="B124" s="384"/>
      <c r="C124" s="384"/>
      <c r="D124" s="384"/>
      <c r="F124" s="384"/>
      <c r="G124" s="384"/>
      <c r="H124" s="384"/>
      <c r="I124" s="384"/>
    </row>
    <row r="125" spans="1:9" ht="30" customHeight="1">
      <c r="A125" s="384"/>
      <c r="B125" s="384"/>
      <c r="C125" s="384"/>
      <c r="D125" s="384"/>
      <c r="E125" s="385"/>
      <c r="F125" s="384"/>
      <c r="G125" s="384"/>
      <c r="H125" s="1225"/>
      <c r="I125" s="1225"/>
    </row>
    <row r="126" spans="1:9" ht="30" customHeight="1">
      <c r="A126" s="384"/>
      <c r="B126" s="384"/>
      <c r="C126" s="384"/>
      <c r="D126" s="384"/>
      <c r="E126" s="384"/>
      <c r="F126" s="384"/>
      <c r="G126" s="384"/>
      <c r="H126" s="384"/>
      <c r="I126" s="384"/>
    </row>
    <row r="127" spans="1:9" ht="30" customHeight="1">
      <c r="A127" s="384"/>
      <c r="B127" s="384"/>
      <c r="C127" s="384"/>
      <c r="D127" s="384"/>
      <c r="E127" s="384"/>
      <c r="F127" s="384"/>
      <c r="G127" s="384"/>
      <c r="H127" s="384"/>
      <c r="I127" s="384"/>
    </row>
    <row r="128" spans="1:9" ht="30" customHeight="1">
      <c r="A128" s="384"/>
      <c r="B128" s="384"/>
      <c r="C128" s="384"/>
      <c r="D128" s="384"/>
      <c r="E128" s="384"/>
      <c r="F128" s="384"/>
      <c r="G128" s="384"/>
      <c r="H128" s="384"/>
      <c r="I128" s="384"/>
    </row>
    <row r="129" spans="1:9" ht="30" customHeight="1">
      <c r="A129" s="385"/>
      <c r="B129" s="385"/>
      <c r="C129" s="384"/>
      <c r="D129" s="384"/>
      <c r="E129" s="384"/>
      <c r="F129" s="384"/>
      <c r="G129" s="384"/>
      <c r="H129" s="384"/>
      <c r="I129" s="384"/>
    </row>
    <row r="130" spans="1:9" ht="30" customHeight="1">
      <c r="A130" s="384"/>
      <c r="B130" s="385"/>
      <c r="C130" s="384"/>
      <c r="D130" s="384"/>
      <c r="E130" s="384"/>
      <c r="F130" s="384"/>
      <c r="G130" s="384"/>
      <c r="H130" s="384"/>
      <c r="I130" s="384"/>
    </row>
    <row r="131" spans="1:9" ht="30" customHeight="1">
      <c r="A131" s="384"/>
      <c r="B131" s="385"/>
      <c r="C131" s="384"/>
      <c r="D131" s="384"/>
      <c r="E131" s="384"/>
      <c r="F131" s="384"/>
      <c r="G131" s="384"/>
      <c r="H131" s="384"/>
      <c r="I131" s="384"/>
    </row>
    <row r="132" spans="1:9" ht="30" customHeight="1">
      <c r="A132" s="384"/>
      <c r="B132" s="384"/>
      <c r="C132" s="384"/>
      <c r="D132" s="384"/>
      <c r="E132" s="384"/>
      <c r="F132" s="384"/>
      <c r="G132" s="384"/>
      <c r="H132" s="384"/>
      <c r="I132" s="384"/>
    </row>
    <row r="133" spans="1:9" ht="30" customHeight="1">
      <c r="A133" s="384"/>
      <c r="B133" s="384"/>
      <c r="C133" s="384"/>
      <c r="D133" s="384"/>
      <c r="E133" s="384"/>
      <c r="F133" s="384"/>
      <c r="G133" s="384"/>
      <c r="H133" s="384"/>
      <c r="I133" s="384"/>
    </row>
    <row r="134" spans="1:9" ht="30" customHeight="1">
      <c r="A134" s="384"/>
      <c r="B134" s="384"/>
      <c r="C134" s="384"/>
      <c r="D134" s="384"/>
      <c r="E134" s="384"/>
      <c r="F134" s="384"/>
      <c r="G134" s="384"/>
      <c r="H134" s="384"/>
      <c r="I134" s="384"/>
    </row>
    <row r="135" spans="1:9" ht="30" customHeight="1">
      <c r="A135" s="384"/>
      <c r="B135" s="384"/>
      <c r="C135" s="384"/>
      <c r="D135" s="384"/>
      <c r="E135" s="384"/>
      <c r="F135" s="384"/>
      <c r="G135" s="384"/>
      <c r="H135" s="384"/>
      <c r="I135" s="384"/>
    </row>
    <row r="136" spans="1:9" ht="30" customHeight="1">
      <c r="A136" s="384"/>
      <c r="B136" s="384"/>
      <c r="C136" s="384"/>
      <c r="D136" s="384"/>
      <c r="E136" s="384"/>
      <c r="F136" s="384"/>
      <c r="G136" s="384"/>
      <c r="H136" s="384"/>
      <c r="I136" s="384"/>
    </row>
    <row r="137" spans="1:9" ht="30" customHeight="1">
      <c r="A137" s="384"/>
      <c r="B137" s="384"/>
      <c r="C137" s="384"/>
      <c r="D137" s="384"/>
      <c r="E137" s="384"/>
      <c r="F137" s="384"/>
      <c r="G137" s="384"/>
      <c r="H137" s="384"/>
      <c r="I137" s="384"/>
    </row>
    <row r="138" spans="1:9" ht="30" customHeight="1">
      <c r="A138" s="384"/>
      <c r="B138" s="384"/>
      <c r="C138" s="384"/>
      <c r="D138" s="384"/>
      <c r="E138" s="384"/>
      <c r="F138" s="384"/>
      <c r="G138" s="384"/>
      <c r="H138" s="384"/>
      <c r="I138" s="384"/>
    </row>
    <row r="139" spans="1:9" ht="30" customHeight="1">
      <c r="A139" s="384"/>
      <c r="B139" s="384"/>
      <c r="C139" s="384"/>
      <c r="D139" s="384"/>
      <c r="E139" s="384"/>
      <c r="F139" s="384"/>
      <c r="G139" s="384"/>
      <c r="H139" s="384"/>
      <c r="I139" s="384"/>
    </row>
    <row r="140" spans="1:9" ht="30" customHeight="1">
      <c r="A140" s="384"/>
      <c r="B140" s="384"/>
      <c r="C140" s="384"/>
      <c r="D140" s="384"/>
      <c r="E140" s="384"/>
      <c r="F140" s="384"/>
    </row>
    <row r="141" spans="1:9" ht="30" customHeight="1">
      <c r="A141" s="384"/>
      <c r="B141" s="384"/>
      <c r="C141" s="384"/>
      <c r="D141" s="384"/>
      <c r="E141" s="384"/>
      <c r="F141" s="384"/>
    </row>
    <row r="142" spans="1:9" ht="30" customHeight="1">
      <c r="A142" s="384"/>
      <c r="B142" s="384"/>
      <c r="C142" s="384"/>
      <c r="D142" s="384"/>
      <c r="E142" s="384"/>
      <c r="F142" s="384"/>
    </row>
    <row r="143" spans="1:9" ht="30" customHeight="1">
      <c r="A143" s="384"/>
      <c r="B143" s="384"/>
      <c r="C143" s="384"/>
      <c r="D143" s="384"/>
      <c r="E143" s="384"/>
      <c r="F143" s="384"/>
    </row>
    <row r="144" spans="1:9" ht="30" customHeight="1">
      <c r="A144" s="384"/>
      <c r="B144" s="384"/>
      <c r="C144" s="384"/>
      <c r="D144" s="384"/>
      <c r="E144" s="384"/>
      <c r="F144" s="384"/>
    </row>
    <row r="145" spans="1:6" ht="30" customHeight="1">
      <c r="A145" s="384"/>
      <c r="B145" s="384"/>
      <c r="C145" s="384"/>
      <c r="D145" s="384"/>
      <c r="E145" s="384"/>
      <c r="F145" s="384"/>
    </row>
    <row r="146" spans="1:6" ht="30" customHeight="1">
      <c r="A146" s="384"/>
      <c r="B146" s="384"/>
      <c r="C146" s="384"/>
      <c r="D146" s="384"/>
      <c r="E146" s="384"/>
    </row>
    <row r="147" spans="1:6" ht="30" customHeight="1">
      <c r="E147" s="384"/>
    </row>
    <row r="148" spans="1:6" ht="30" customHeight="1">
      <c r="E148" s="384"/>
    </row>
    <row r="149" spans="1:6" ht="30" customHeight="1">
      <c r="E149" s="384"/>
    </row>
  </sheetData>
  <sheetProtection algorithmName="SHA-512" hashValue="AGE+ScZNOdQiX0v5rYLjlZnRHHV9I7m6/bfzEBvKnhhz3TlLhbOL02nhI3GANrdBJ6Fn9MzNdeP0J8TXguA8cQ==" saltValue="iLdszYwjVy/y6+Pu0d7UIA==" spinCount="100000" sheet="1" objects="1" scenarios="1" selectLockedCells="1"/>
  <mergeCells count="36">
    <mergeCell ref="M86:Q86"/>
    <mergeCell ref="H115:I115"/>
    <mergeCell ref="H120:I120"/>
    <mergeCell ref="H125:I125"/>
    <mergeCell ref="X77:X78"/>
    <mergeCell ref="A74:E74"/>
    <mergeCell ref="G74:K74"/>
    <mergeCell ref="A77:E77"/>
    <mergeCell ref="A80:E80"/>
    <mergeCell ref="B81:C81"/>
    <mergeCell ref="D81:E81"/>
    <mergeCell ref="S65:X65"/>
    <mergeCell ref="A66:E66"/>
    <mergeCell ref="G67:K67"/>
    <mergeCell ref="M68:Q68"/>
    <mergeCell ref="A71:E71"/>
    <mergeCell ref="G60:K60"/>
    <mergeCell ref="A62:E62"/>
    <mergeCell ref="G63:K63"/>
    <mergeCell ref="A64:E64"/>
    <mergeCell ref="G65:K65"/>
    <mergeCell ref="A52:E52"/>
    <mergeCell ref="A55:E55"/>
    <mergeCell ref="M55:Q55"/>
    <mergeCell ref="G56:K56"/>
    <mergeCell ref="A57:E57"/>
    <mergeCell ref="A42:E42"/>
    <mergeCell ref="A44:E44"/>
    <mergeCell ref="A46:E46"/>
    <mergeCell ref="G46:K46"/>
    <mergeCell ref="G51:K51"/>
    <mergeCell ref="G40:K40"/>
    <mergeCell ref="M40:Q40"/>
    <mergeCell ref="S40:AV40"/>
    <mergeCell ref="G41:K41"/>
    <mergeCell ref="M41:Q41"/>
  </mergeCells>
  <phoneticPr fontId="36" type="noConversion"/>
  <dataValidations count="36">
    <dataValidation type="whole" allowBlank="1" showInputMessage="1" showErrorMessage="1" errorTitle="设置值超出范围" error="预留带宽设置值超出范围" sqref="D70">
      <formula1>0</formula1>
      <formula2>J66</formula2>
    </dataValidation>
    <dataValidation type="custom" allowBlank="1" showInputMessage="1" showErrorMessage="1" error="输入参数值为1或者2" sqref="B8">
      <formula1>OR((B8=1),(B8=2))</formula1>
    </dataValidation>
    <dataValidation allowBlank="1" showErrorMessage="1" promptTitle="参数变化" prompt="该参数会根据当前生效的水平像素Binning、水平像素抽样变化" sqref="B2 B3"/>
    <dataValidation type="whole" allowBlank="1" showInputMessage="1" showErrorMessage="1" error="设置值范围为0~包间隔最大值" sqref="B16">
      <formula1>0</formula1>
      <formula2>B17</formula2>
    </dataValidation>
    <dataValidation allowBlank="1" showInputMessage="1" showErrorMessage="1" error="输入范围是64~1024，步长为2" sqref="A1:B1"/>
    <dataValidation type="whole" allowBlank="1" showInputMessage="1" showErrorMessage="1" errorTitle="超出范围" error="曝光时间的范围是14us-1s" sqref="B9 D48">
      <formula1>4</formula1>
      <formula2>1000000</formula2>
    </dataValidation>
    <dataValidation type="custom" allowBlank="1" showInputMessage="1" showErrorMessage="1" errorTitle="输入数值非法" error="输入范围是16~图像宽度最大值，步长为16" sqref="B4">
      <formula1>AND((B4&lt;=B2),(B4&gt;=4),(MOD(B4,4)=0))</formula1>
    </dataValidation>
    <dataValidation type="list" allowBlank="1" showInputMessage="1" showErrorMessage="1" sqref="D67">
      <formula1>"1000,10000"</formula1>
    </dataValidation>
    <dataValidation type="custom" allowBlank="1" showInputMessage="1" showErrorMessage="1" errorTitle="输入数值非法" error="输入范围是2~图像高度最大值，步长为2" sqref="B5">
      <formula1>AND((B5&lt;=B3),(B5&gt;=2),(MOD(B5,2)=0))</formula1>
    </dataValidation>
    <dataValidation type="custom" allowBlank="1" showInputMessage="1" showErrorMessage="1" error="输入参数值为1或者2，并且当水平像素抽样不为1时不能输入" sqref="B6">
      <formula1>AND(OR((B6=1),(B6=2)),B7=1)</formula1>
    </dataValidation>
    <dataValidation type="custom" allowBlank="1" showInputMessage="1" showErrorMessage="1" error="输入参数值为1或者2，并且当水平像素抽样不为1时不能输入" sqref="B7">
      <formula1>AND(OR((B7=1),(B7=2)),B6=1)</formula1>
    </dataValidation>
    <dataValidation type="custom" allowBlank="1" showInputMessage="1" showErrorMessage="1" error="请输入8或者12" sqref="B10">
      <formula1>OR((B10=8),(B10=12))</formula1>
    </dataValidation>
    <dataValidation type="custom" allowBlank="1" showInputMessage="1" showErrorMessage="1" error="请输入10000或者1000" sqref="B11">
      <formula1>OR((B11=10000),(B11=1000))</formula1>
    </dataValidation>
    <dataValidation type="list" allowBlank="1" showInputMessage="1" showErrorMessage="1" errorTitle="超出范围" error="请输入0或者1" sqref="B12 B20">
      <formula1>"0,1"</formula1>
    </dataValidation>
    <dataValidation type="custom" allowBlank="1" showInputMessage="1" showErrorMessage="1" error="设置值范围0.1~10000.0，精确到一位小数" sqref="B13">
      <formula1>AND(TRUNC(B13,1)=B13,(B13&gt;=0.1),(B13&lt;=10000))</formula1>
    </dataValidation>
    <dataValidation type="list" allowBlank="1" showInputMessage="1" showErrorMessage="1" sqref="C41">
      <formula1>$AU$42:$AU$45</formula1>
    </dataValidation>
    <dataValidation type="whole" allowBlank="1" showInputMessage="1" showErrorMessage="1" error="输入范围是[0,5000]，单位为us" sqref="B19">
      <formula1>0</formula1>
      <formula2>5000</formula2>
    </dataValidation>
    <dataValidation type="whole" allowBlank="1" showInputMessage="1" showErrorMessage="1" error="设置范围为0~预留带宽最大值" sqref="B14">
      <formula1>0</formula1>
      <formula2>B15</formula2>
    </dataValidation>
    <dataValidation type="custom" allowBlank="1" showInputMessage="1" showErrorMessage="1" error="输入范围是512~8192，步长为4" sqref="B18 C27">
      <formula1>AND((B18&lt;=8192),(B18&gt;=512),(MOD(B18,4)=0))</formula1>
    </dataValidation>
    <dataValidation type="whole" allowBlank="1" showInputMessage="1" showErrorMessage="1" errorTitle="设置值超出范围" error="包间隔设置值超出范围" sqref="D69">
      <formula1>J75</formula1>
      <formula2>J64</formula2>
    </dataValidation>
    <dataValidation type="whole" allowBlank="1" showInputMessage="1" showErrorMessage="1" errorTitle="输入数值非法" error="最小值2，最大值1000000" sqref="D51">
      <formula1>0</formula1>
      <formula2>1000000</formula2>
    </dataValidation>
    <dataValidation type="list" allowBlank="1" showInputMessage="1" showErrorMessage="1" sqref="C40">
      <formula1>$S$42:$S$56</formula1>
    </dataValidation>
    <dataValidation type="list" allowBlank="1" showInputMessage="1" showErrorMessage="1" sqref="D45">
      <formula1>"8,12"</formula1>
    </dataValidation>
    <dataValidation type="list" allowBlank="1" showInputMessage="1" showErrorMessage="1" errorTitle="超出范围" error="曝光时间的范围是14us-1s" sqref="D47">
      <formula1>"Timed,TriggerWidth"</formula1>
    </dataValidation>
    <dataValidation type="whole" allowBlank="1" showInputMessage="1" showErrorMessage="1" errorTitle="超出范围" error="曝光延迟的范围是0-5000us" sqref="D49">
      <formula1>0</formula1>
      <formula2>5000</formula2>
    </dataValidation>
    <dataValidation type="whole" allowBlank="1" showInputMessage="1" showErrorMessage="1" errorTitle="输入数值非法" error="最小值4，最大值D12" sqref="D50">
      <formula1>0</formula1>
      <formula2>(D61*D79+P47+P52+P54)*J43/1000+1</formula2>
    </dataValidation>
    <dataValidation type="whole" allowBlank="1" showInputMessage="1" showErrorMessage="1" errorTitle="超出范围" error="触发延时的范围是0-3000000us" sqref="D56">
      <formula1>0</formula1>
      <formula2>3000000</formula2>
    </dataValidation>
    <dataValidation type="whole" allowBlank="1" showInputMessage="1" showErrorMessage="1" errorTitle="输入数值非法" error="最小值4，最大值D12" sqref="D60">
      <formula1>4</formula1>
      <formula2>C60</formula2>
    </dataValidation>
    <dataValidation type="whole" allowBlank="1" showInputMessage="1" showErrorMessage="1" errorTitle="输入数值非法" error="最小值2，最大值D13" sqref="D61">
      <formula1>2</formula1>
      <formula2>C61</formula2>
    </dataValidation>
    <dataValidation type="list" allowBlank="1" showInputMessage="1" showErrorMessage="1" sqref="D63 D65 D53:D54">
      <formula1>"0,1"</formula1>
    </dataValidation>
    <dataValidation type="custom" allowBlank="1" showInputMessage="1" showErrorMessage="1" sqref="D68">
      <formula1>AND(MOD(D68,4)=0,D68&gt;=512,D68&lt;=16384)</formula1>
    </dataValidation>
    <dataValidation type="list" allowBlank="1" showInputMessage="1" showErrorMessage="1" errorTitle="超出范围" error="0:关闭_x000a_1:打开" sqref="D72">
      <formula1>"0,1"</formula1>
    </dataValidation>
    <dataValidation type="decimal" allowBlank="1" showInputMessage="1" showErrorMessage="1" sqref="D73">
      <formula1>0.1</formula1>
      <formula2>10000</formula2>
    </dataValidation>
    <dataValidation type="whole" operator="lessThanOrEqual" allowBlank="1" showInputMessage="1" showErrorMessage="1" error="Binning/Skipping系数最大为2" prompt="设置水平Binning/Skipping时，需要同步修改水平ROI" sqref="D75 D78">
      <formula1>2</formula1>
    </dataValidation>
    <dataValidation type="whole" operator="lessThanOrEqual" allowBlank="1" showInputMessage="1" showErrorMessage="1" error="Binning/Skipping系数最大为2" prompt="设置垂直Binning/Skipping时，需要同步修改垂直ROI" sqref="D76 D79">
      <formula1>2</formula1>
    </dataValidation>
    <dataValidation type="whole" operator="lessThanOrEqual" allowBlank="1" showInputMessage="1" showErrorMessage="1" sqref="D58:D59">
      <formula1>D60</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51"/>
  <sheetViews>
    <sheetView zoomScale="130" zoomScaleNormal="130" workbookViewId="0">
      <selection activeCell="D10" sqref="D10"/>
    </sheetView>
  </sheetViews>
  <sheetFormatPr defaultColWidth="9" defaultRowHeight="16.5"/>
  <cols>
    <col min="1" max="1" width="36.25" style="404" customWidth="1"/>
    <col min="2" max="2" width="27.625" style="404" customWidth="1"/>
    <col min="3" max="3" width="18.375" style="404" customWidth="1"/>
    <col min="4" max="4" width="10" style="404" customWidth="1"/>
    <col min="5" max="5" width="7.375" style="404" customWidth="1"/>
    <col min="6" max="6" width="4.5" style="404" customWidth="1"/>
    <col min="7" max="7" width="26.625" style="404" customWidth="1"/>
    <col min="8" max="8" width="23.625" style="404" customWidth="1"/>
    <col min="9" max="9" width="127.625" style="404" customWidth="1"/>
    <col min="10" max="10" width="13.25" style="404" customWidth="1"/>
    <col min="11" max="11" width="14.25" style="404" customWidth="1"/>
    <col min="12" max="12" width="4.5" style="404" customWidth="1"/>
    <col min="13" max="13" width="33.25" style="404" customWidth="1"/>
    <col min="14" max="14" width="45.25" style="404" customWidth="1"/>
    <col min="15" max="15" width="80.25" style="404" customWidth="1"/>
    <col min="16" max="16" width="14.5" style="404" customWidth="1"/>
    <col min="17" max="17" width="15.125" style="404" customWidth="1"/>
    <col min="18" max="18" width="4.875" style="404" customWidth="1"/>
    <col min="19" max="19" width="32.625" style="404" customWidth="1"/>
    <col min="20" max="20" width="16.875" style="404" customWidth="1"/>
    <col min="21" max="21" width="29.5" style="404" customWidth="1"/>
    <col min="22" max="22" width="34.5" style="404" customWidth="1"/>
    <col min="23" max="23" width="16.25" style="404" customWidth="1"/>
    <col min="24" max="24" width="39.5" style="404" customWidth="1"/>
    <col min="25" max="25" width="13.625" style="404" customWidth="1"/>
    <col min="26" max="26" width="13.25" style="404" customWidth="1"/>
    <col min="27" max="27" width="16.75" style="404" customWidth="1"/>
    <col min="28" max="28" width="19.125" style="404" customWidth="1"/>
    <col min="29" max="29" width="20.625" style="404" customWidth="1"/>
    <col min="30" max="30" width="21.25" style="404" customWidth="1"/>
    <col min="31" max="31" width="22.25" style="404" customWidth="1"/>
    <col min="32" max="32" width="23.125" style="404" customWidth="1"/>
    <col min="33" max="33" width="9.375" style="404" customWidth="1"/>
    <col min="34" max="34" width="10.25" style="404" customWidth="1"/>
    <col min="35" max="35" width="14" style="404" customWidth="1"/>
    <col min="36" max="36" width="9.25" style="404" customWidth="1"/>
    <col min="37" max="37" width="9.125" style="404" customWidth="1"/>
    <col min="38" max="38" width="20.125" style="404" customWidth="1"/>
    <col min="39" max="39" width="17.125" style="404" customWidth="1"/>
    <col min="40" max="40" width="19.375" style="404" customWidth="1"/>
    <col min="41" max="41" width="16.5" style="404" customWidth="1"/>
    <col min="42" max="42" width="16.375" style="404" customWidth="1"/>
    <col min="43" max="43" width="21.625" style="404" customWidth="1"/>
    <col min="44" max="44" width="18" style="404" customWidth="1"/>
    <col min="45" max="45" width="19.375" style="404" customWidth="1"/>
    <col min="46" max="46" width="15.125" style="404" customWidth="1"/>
    <col min="47" max="47" width="22.5" style="404" customWidth="1"/>
    <col min="48" max="48" width="15.75" style="404" customWidth="1"/>
    <col min="49" max="49" width="11.625" style="404" customWidth="1"/>
    <col min="50" max="50" width="10.125" style="404" customWidth="1"/>
    <col min="51" max="51" width="22" style="404" customWidth="1"/>
    <col min="52" max="16384" width="9" style="404"/>
  </cols>
  <sheetData>
    <row r="1" spans="1:4" s="403" customFormat="1" ht="13.5">
      <c r="A1" s="198" t="s">
        <v>16</v>
      </c>
      <c r="B1" s="198"/>
      <c r="C1" s="199"/>
    </row>
    <row r="2" spans="1:4" s="403" customFormat="1" ht="13.5">
      <c r="A2" s="198" t="s">
        <v>17</v>
      </c>
      <c r="B2" s="198" t="s">
        <v>17</v>
      </c>
      <c r="C2" s="198">
        <f>IF(C6=2,C26,C62)</f>
        <v>4096</v>
      </c>
    </row>
    <row r="3" spans="1:4" s="403" customFormat="1" ht="13.5">
      <c r="A3" s="198" t="s">
        <v>18</v>
      </c>
      <c r="B3" s="198" t="s">
        <v>18</v>
      </c>
      <c r="C3" s="198">
        <f>C63</f>
        <v>3072</v>
      </c>
    </row>
    <row r="4" spans="1:4" s="403" customFormat="1" ht="13.5">
      <c r="A4" s="198" t="s">
        <v>19</v>
      </c>
      <c r="B4" s="198" t="s">
        <v>19</v>
      </c>
      <c r="C4" s="199">
        <v>4096</v>
      </c>
      <c r="D4" s="405" t="str">
        <f>IF(OR(C4&gt;C2,C4&lt;4),I25,"")</f>
        <v/>
      </c>
    </row>
    <row r="5" spans="1:4" s="403" customFormat="1" ht="13.5">
      <c r="A5" s="198" t="s">
        <v>20</v>
      </c>
      <c r="B5" s="198" t="s">
        <v>20</v>
      </c>
      <c r="C5" s="199">
        <v>3072</v>
      </c>
      <c r="D5" s="405" t="str">
        <f>IF(OR(C5&gt;C3,C5&lt;2),I26,"")</f>
        <v/>
      </c>
    </row>
    <row r="6" spans="1:4" s="403" customFormat="1" ht="13.5">
      <c r="A6" s="198" t="s">
        <v>21</v>
      </c>
      <c r="B6" s="198" t="s">
        <v>21</v>
      </c>
      <c r="C6" s="199">
        <v>1</v>
      </c>
    </row>
    <row r="7" spans="1:4" s="403" customFormat="1" ht="13.5">
      <c r="A7" s="198" t="s">
        <v>23</v>
      </c>
      <c r="B7" s="198" t="s">
        <v>23</v>
      </c>
      <c r="C7" s="199">
        <v>1</v>
      </c>
    </row>
    <row r="8" spans="1:4" s="403" customFormat="1" ht="13.5">
      <c r="A8" s="198" t="s">
        <v>24</v>
      </c>
      <c r="B8" s="198" t="s">
        <v>24</v>
      </c>
      <c r="C8" s="199">
        <v>1</v>
      </c>
    </row>
    <row r="9" spans="1:4" s="403" customFormat="1" ht="13.5">
      <c r="A9" s="198" t="s">
        <v>25</v>
      </c>
      <c r="B9" s="198" t="s">
        <v>25</v>
      </c>
      <c r="C9" s="199">
        <v>10000</v>
      </c>
    </row>
    <row r="10" spans="1:4" s="403" customFormat="1" ht="13.5">
      <c r="A10" s="198" t="s">
        <v>26</v>
      </c>
      <c r="B10" s="198" t="s">
        <v>26</v>
      </c>
      <c r="C10" s="199">
        <v>8</v>
      </c>
    </row>
    <row r="11" spans="1:4" s="403" customFormat="1" ht="13.5">
      <c r="A11" s="198" t="s">
        <v>27</v>
      </c>
      <c r="B11" s="198" t="s">
        <v>27</v>
      </c>
      <c r="C11" s="199">
        <v>10000</v>
      </c>
    </row>
    <row r="12" spans="1:4" s="403" customFormat="1" ht="13.5">
      <c r="A12" s="198" t="s">
        <v>28</v>
      </c>
      <c r="B12" s="198" t="s">
        <v>28</v>
      </c>
      <c r="C12" s="199">
        <v>0</v>
      </c>
    </row>
    <row r="13" spans="1:4" s="403" customFormat="1" ht="13.5">
      <c r="A13" s="198" t="s">
        <v>29</v>
      </c>
      <c r="B13" s="198" t="s">
        <v>29</v>
      </c>
      <c r="C13" s="199">
        <v>120</v>
      </c>
    </row>
    <row r="14" spans="1:4" s="403" customFormat="1" ht="13.5">
      <c r="A14" s="198" t="s">
        <v>30</v>
      </c>
      <c r="B14" s="198" t="s">
        <v>30</v>
      </c>
      <c r="C14" s="199">
        <v>2</v>
      </c>
    </row>
    <row r="15" spans="1:4" s="403" customFormat="1" ht="27">
      <c r="A15" s="198" t="s">
        <v>31</v>
      </c>
      <c r="B15" s="198" t="s">
        <v>31</v>
      </c>
      <c r="C15" s="198">
        <f>J69</f>
        <v>99</v>
      </c>
    </row>
    <row r="16" spans="1:4" s="403" customFormat="1" ht="13.5">
      <c r="A16" s="198" t="s">
        <v>32</v>
      </c>
      <c r="B16" s="198" t="s">
        <v>32</v>
      </c>
      <c r="C16" s="199">
        <v>0</v>
      </c>
    </row>
    <row r="17" spans="1:11" s="403" customFormat="1" ht="13.5">
      <c r="A17" s="198" t="s">
        <v>33</v>
      </c>
      <c r="B17" s="198" t="s">
        <v>33</v>
      </c>
      <c r="C17" s="198">
        <f>J67</f>
        <v>6311964</v>
      </c>
    </row>
    <row r="18" spans="1:11" s="403" customFormat="1" ht="13.5">
      <c r="A18" s="198" t="s">
        <v>34</v>
      </c>
      <c r="B18" s="198" t="s">
        <v>34</v>
      </c>
      <c r="C18" s="199">
        <v>8164</v>
      </c>
    </row>
    <row r="19" spans="1:11" s="403" customFormat="1" ht="13.5">
      <c r="A19" s="198" t="s">
        <v>35</v>
      </c>
      <c r="B19" s="198" t="s">
        <v>35</v>
      </c>
      <c r="C19" s="199">
        <v>0</v>
      </c>
    </row>
    <row r="20" spans="1:11" s="403" customFormat="1" ht="13.5">
      <c r="A20" s="198" t="s">
        <v>36</v>
      </c>
      <c r="B20" s="198" t="s">
        <v>36</v>
      </c>
      <c r="C20" s="199">
        <v>0</v>
      </c>
    </row>
    <row r="21" spans="1:11" s="403" customFormat="1" ht="13.5">
      <c r="A21" s="198"/>
      <c r="B21" s="198"/>
      <c r="C21" s="199"/>
    </row>
    <row r="22" spans="1:11" s="403" customFormat="1" ht="13.5">
      <c r="A22" s="198" t="s">
        <v>37</v>
      </c>
      <c r="B22" s="198" t="s">
        <v>37</v>
      </c>
      <c r="C22" s="198">
        <f>D83</f>
        <v>89.928057553956833</v>
      </c>
      <c r="D22" s="405" t="str">
        <f>IF(I31,I27,"")</f>
        <v/>
      </c>
    </row>
    <row r="23" spans="1:11" s="200" customFormat="1" ht="30" hidden="1" customHeight="1">
      <c r="A23" s="403"/>
      <c r="B23" s="403"/>
      <c r="C23" s="403"/>
      <c r="D23" s="403"/>
      <c r="E23" s="403"/>
      <c r="F23" s="403"/>
      <c r="G23" s="403"/>
      <c r="H23" s="403"/>
      <c r="I23" s="403"/>
      <c r="J23" s="403"/>
      <c r="K23" s="403"/>
    </row>
    <row r="24" spans="1:11" s="200" customFormat="1" ht="30" hidden="1" customHeight="1">
      <c r="A24" s="403"/>
      <c r="B24" s="403"/>
      <c r="C24" s="403"/>
      <c r="D24" s="403"/>
      <c r="E24" s="403"/>
      <c r="F24" s="403"/>
      <c r="G24" s="403"/>
      <c r="H24" s="403"/>
      <c r="I24" t="s">
        <v>400</v>
      </c>
      <c r="J24" s="403"/>
      <c r="K24" s="403"/>
    </row>
    <row r="25" spans="1:11" s="200" customFormat="1" ht="30" hidden="1" customHeight="1">
      <c r="A25" s="403"/>
      <c r="B25" s="403"/>
      <c r="C25" s="403"/>
      <c r="D25" s="403"/>
      <c r="E25" s="403"/>
      <c r="F25" s="403"/>
      <c r="G25" s="403"/>
      <c r="H25" s="403"/>
      <c r="I25" t="s">
        <v>401</v>
      </c>
      <c r="J25" s="403"/>
      <c r="K25" s="403"/>
    </row>
    <row r="26" spans="1:11" s="403" customFormat="1" ht="13.5" hidden="1">
      <c r="A26" s="198" t="s">
        <v>40</v>
      </c>
      <c r="B26" s="198"/>
      <c r="C26" s="199">
        <f>ROUNDDOWN(C28/2/16,0)*16</f>
        <v>2048</v>
      </c>
      <c r="I26" s="403" t="s">
        <v>402</v>
      </c>
    </row>
    <row r="27" spans="1:11" s="403" customFormat="1" ht="13.5" hidden="1">
      <c r="A27" s="198" t="s">
        <v>42</v>
      </c>
      <c r="B27" s="198"/>
      <c r="C27" s="199">
        <f>C3</f>
        <v>3072</v>
      </c>
      <c r="I27" s="403" t="s">
        <v>403</v>
      </c>
    </row>
    <row r="28" spans="1:11" s="403" customFormat="1" ht="13.5" hidden="1">
      <c r="A28" s="198" t="s">
        <v>44</v>
      </c>
      <c r="B28" s="198"/>
      <c r="C28" s="199">
        <f>C62</f>
        <v>4096</v>
      </c>
    </row>
    <row r="29" spans="1:11" s="403" customFormat="1" ht="13.5" hidden="1">
      <c r="A29" s="198" t="s">
        <v>45</v>
      </c>
      <c r="B29" s="198"/>
      <c r="C29" s="199">
        <f>C63</f>
        <v>3072</v>
      </c>
    </row>
    <row r="30" spans="1:11" s="403" customFormat="1" ht="13.5" hidden="1">
      <c r="A30" s="198" t="s">
        <v>46</v>
      </c>
      <c r="B30" s="198"/>
      <c r="C30" s="199">
        <f>IF(C6=1,C7,C6)</f>
        <v>1</v>
      </c>
      <c r="I30" s="403" t="s">
        <v>404</v>
      </c>
    </row>
    <row r="31" spans="1:11" s="403" customFormat="1" ht="13.5" hidden="1">
      <c r="A31" s="198" t="s">
        <v>48</v>
      </c>
      <c r="B31" s="198"/>
      <c r="C31" s="199">
        <f>C8</f>
        <v>1</v>
      </c>
      <c r="I31" s="403">
        <f>IF(OR(OR(C4&gt;C2,C4&lt;4),OR(C5&gt;C3,C5&lt;2)),1,0)</f>
        <v>0</v>
      </c>
    </row>
    <row r="32" spans="1:11" hidden="1"/>
    <row r="33" spans="1:51" hidden="1"/>
    <row r="34" spans="1:51" hidden="1"/>
    <row r="35" spans="1:51" hidden="1"/>
    <row r="36" spans="1:51" hidden="1"/>
    <row r="37" spans="1:51" hidden="1"/>
    <row r="38" spans="1:51" hidden="1"/>
    <row r="39" spans="1:51" hidden="1"/>
    <row r="40" spans="1:51" hidden="1"/>
    <row r="41" spans="1:51" s="200" customFormat="1" hidden="1">
      <c r="A41" s="406" t="s">
        <v>49</v>
      </c>
      <c r="B41" s="406" t="s">
        <v>50</v>
      </c>
      <c r="C41" s="407" t="s">
        <v>423</v>
      </c>
      <c r="D41" s="408"/>
      <c r="E41" s="408"/>
      <c r="F41" s="404"/>
      <c r="G41" s="404"/>
      <c r="H41" s="404"/>
      <c r="I41" s="404"/>
      <c r="J41" s="404"/>
      <c r="K41" s="404"/>
      <c r="L41" s="404"/>
      <c r="M41" s="404"/>
      <c r="N41" s="404"/>
      <c r="O41" s="404"/>
      <c r="P41" s="404"/>
      <c r="Q41" s="404"/>
      <c r="R41" s="404"/>
      <c r="S41" s="454"/>
      <c r="T41" s="454"/>
      <c r="U41" s="454"/>
      <c r="V41" s="454"/>
      <c r="W41" s="454"/>
      <c r="X41" s="454"/>
      <c r="Y41" s="454"/>
      <c r="Z41" s="454"/>
      <c r="AA41" s="454"/>
      <c r="AB41" s="454"/>
      <c r="AC41" s="454"/>
      <c r="AD41" s="454"/>
      <c r="AE41" s="454"/>
      <c r="AF41" s="1228" t="s">
        <v>424</v>
      </c>
      <c r="AG41" s="1229"/>
      <c r="AH41" s="1229"/>
      <c r="AI41" s="1229"/>
      <c r="AJ41" s="1229"/>
      <c r="AK41" s="1229"/>
      <c r="AL41" s="1229"/>
      <c r="AM41" s="1229"/>
      <c r="AN41" s="1229"/>
      <c r="AO41" s="1230"/>
      <c r="AP41" s="454"/>
      <c r="AQ41" s="454"/>
      <c r="AR41" s="454"/>
      <c r="AS41" s="454"/>
      <c r="AT41" s="454"/>
      <c r="AU41" s="454"/>
      <c r="AV41" s="454"/>
      <c r="AW41" s="493" t="s">
        <v>425</v>
      </c>
      <c r="AX41" s="404"/>
      <c r="AY41" s="404"/>
    </row>
    <row r="42" spans="1:51" s="200" customFormat="1" hidden="1">
      <c r="A42" s="406" t="s">
        <v>55</v>
      </c>
      <c r="B42" s="406" t="s">
        <v>56</v>
      </c>
      <c r="C42" s="407" t="s">
        <v>100</v>
      </c>
      <c r="D42" s="408"/>
      <c r="E42" s="408"/>
      <c r="F42" s="408"/>
      <c r="G42" s="1231" t="s">
        <v>52</v>
      </c>
      <c r="H42" s="1232"/>
      <c r="I42" s="1232"/>
      <c r="J42" s="1232"/>
      <c r="K42" s="1233"/>
      <c r="L42" s="454"/>
      <c r="M42" s="1231" t="s">
        <v>53</v>
      </c>
      <c r="N42" s="1232"/>
      <c r="O42" s="1232"/>
      <c r="P42" s="1232"/>
      <c r="Q42" s="1233"/>
      <c r="R42" s="454"/>
      <c r="S42" s="1234" t="s">
        <v>54</v>
      </c>
      <c r="T42" s="1235"/>
      <c r="U42" s="1235"/>
      <c r="V42" s="1235"/>
      <c r="W42" s="1235"/>
      <c r="X42" s="1235"/>
      <c r="Y42" s="1235"/>
      <c r="Z42" s="1235"/>
      <c r="AA42" s="1235"/>
      <c r="AB42" s="1235"/>
      <c r="AC42" s="1235"/>
      <c r="AD42" s="1235"/>
      <c r="AE42" s="1235"/>
      <c r="AF42" s="1235"/>
      <c r="AG42" s="1235"/>
      <c r="AH42" s="1235"/>
      <c r="AI42" s="1235"/>
      <c r="AJ42" s="1235"/>
      <c r="AK42" s="1235"/>
      <c r="AL42" s="1235"/>
      <c r="AM42" s="1235"/>
      <c r="AN42" s="1235"/>
      <c r="AO42" s="1235"/>
      <c r="AP42" s="1235"/>
      <c r="AQ42" s="1235"/>
      <c r="AR42" s="1235"/>
      <c r="AS42" s="1235"/>
      <c r="AT42" s="1235"/>
      <c r="AU42" s="1235"/>
      <c r="AV42" s="1235"/>
      <c r="AW42" s="1235"/>
      <c r="AX42" s="1235"/>
      <c r="AY42" s="1235"/>
    </row>
    <row r="43" spans="1:51" ht="33" hidden="1">
      <c r="A43" s="1231" t="s">
        <v>90</v>
      </c>
      <c r="B43" s="1232"/>
      <c r="C43" s="1232"/>
      <c r="D43" s="1232"/>
      <c r="E43" s="1233"/>
      <c r="F43" s="408"/>
      <c r="G43" s="1236" t="s">
        <v>58</v>
      </c>
      <c r="H43" s="1237"/>
      <c r="I43" s="1237"/>
      <c r="J43" s="1237"/>
      <c r="K43" s="1238"/>
      <c r="L43" s="454"/>
      <c r="M43" s="1236" t="s">
        <v>59</v>
      </c>
      <c r="N43" s="1237"/>
      <c r="O43" s="1237"/>
      <c r="P43" s="1237"/>
      <c r="Q43" s="1238"/>
      <c r="R43" s="454"/>
      <c r="S43" s="480" t="s">
        <v>60</v>
      </c>
      <c r="T43" s="481" t="s">
        <v>61</v>
      </c>
      <c r="U43" s="481" t="s">
        <v>62</v>
      </c>
      <c r="V43" s="481" t="s">
        <v>63</v>
      </c>
      <c r="W43" s="481" t="s">
        <v>426</v>
      </c>
      <c r="X43" s="481" t="s">
        <v>427</v>
      </c>
      <c r="Y43" s="481" t="s">
        <v>428</v>
      </c>
      <c r="Z43" s="481" t="s">
        <v>429</v>
      </c>
      <c r="AA43" s="481" t="s">
        <v>430</v>
      </c>
      <c r="AB43" s="481" t="s">
        <v>431</v>
      </c>
      <c r="AC43" s="481" t="s">
        <v>432</v>
      </c>
      <c r="AD43" s="481" t="s">
        <v>433</v>
      </c>
      <c r="AE43" s="481" t="s">
        <v>434</v>
      </c>
      <c r="AF43" s="481" t="s">
        <v>435</v>
      </c>
      <c r="AG43" s="491" t="s">
        <v>436</v>
      </c>
      <c r="AH43" s="481" t="s">
        <v>437</v>
      </c>
      <c r="AI43" s="481" t="s">
        <v>438</v>
      </c>
      <c r="AJ43" s="481" t="s">
        <v>439</v>
      </c>
      <c r="AK43" s="481" t="s">
        <v>440</v>
      </c>
      <c r="AL43" s="481" t="s">
        <v>441</v>
      </c>
      <c r="AM43" s="481" t="s">
        <v>442</v>
      </c>
      <c r="AN43" s="481" t="s">
        <v>443</v>
      </c>
      <c r="AO43" s="481" t="s">
        <v>444</v>
      </c>
      <c r="AP43" s="481" t="s">
        <v>445</v>
      </c>
      <c r="AQ43" s="481" t="s">
        <v>446</v>
      </c>
      <c r="AR43" s="481" t="s">
        <v>447</v>
      </c>
      <c r="AS43" s="481" t="s">
        <v>448</v>
      </c>
      <c r="AT43" s="481" t="s">
        <v>449</v>
      </c>
      <c r="AU43" s="481" t="s">
        <v>450</v>
      </c>
      <c r="AV43" s="481" t="s">
        <v>451</v>
      </c>
      <c r="AW43" s="481" t="s">
        <v>452</v>
      </c>
      <c r="AX43" s="481" t="s">
        <v>453</v>
      </c>
      <c r="AY43" s="481" t="s">
        <v>454</v>
      </c>
    </row>
    <row r="44" spans="1:51" ht="33" hidden="1">
      <c r="A44" s="409" t="s">
        <v>91</v>
      </c>
      <c r="B44" s="410" t="s">
        <v>92</v>
      </c>
      <c r="C44" s="410" t="s">
        <v>101</v>
      </c>
      <c r="D44" s="410" t="s">
        <v>102</v>
      </c>
      <c r="E44" s="411" t="s">
        <v>95</v>
      </c>
      <c r="F44" s="408"/>
      <c r="G44" s="412" t="s">
        <v>91</v>
      </c>
      <c r="H44" s="413" t="s">
        <v>92</v>
      </c>
      <c r="I44" s="413" t="s">
        <v>93</v>
      </c>
      <c r="J44" s="413" t="s">
        <v>94</v>
      </c>
      <c r="K44" s="455" t="s">
        <v>95</v>
      </c>
      <c r="L44" s="454"/>
      <c r="M44" s="456" t="s">
        <v>91</v>
      </c>
      <c r="N44" s="457" t="s">
        <v>92</v>
      </c>
      <c r="O44" s="457" t="s">
        <v>93</v>
      </c>
      <c r="P44" s="457" t="s">
        <v>96</v>
      </c>
      <c r="Q44" s="482" t="s">
        <v>95</v>
      </c>
      <c r="R44" s="454"/>
      <c r="S44" s="483" t="s">
        <v>423</v>
      </c>
      <c r="T44" s="431" t="s">
        <v>455</v>
      </c>
      <c r="U44" s="431">
        <v>32</v>
      </c>
      <c r="V44" s="431">
        <v>100</v>
      </c>
      <c r="W44" s="431">
        <v>64</v>
      </c>
      <c r="X44" s="431">
        <v>2</v>
      </c>
      <c r="Y44" s="431">
        <v>12</v>
      </c>
      <c r="Z44" s="431">
        <v>16</v>
      </c>
      <c r="AA44" s="431">
        <f>4/D77</f>
        <v>4</v>
      </c>
      <c r="AB44" s="431">
        <f>4/D78</f>
        <v>4</v>
      </c>
      <c r="AC44" s="431">
        <f>INT(4096/D77/Z44)*Z44</f>
        <v>4096</v>
      </c>
      <c r="AD44" s="431">
        <v>4</v>
      </c>
      <c r="AE44" s="431">
        <f>INT(4096/D77/Z44)*Z44</f>
        <v>4096</v>
      </c>
      <c r="AF44" s="431">
        <f>INT(3072/D78/4)*4</f>
        <v>3072</v>
      </c>
      <c r="AG44" s="492">
        <f>IF(AND(D77=2,D46=12),133,230)</f>
        <v>230</v>
      </c>
      <c r="AH44" s="431">
        <f>14+AS44</f>
        <v>14</v>
      </c>
      <c r="AI44" s="431">
        <v>17</v>
      </c>
      <c r="AJ44" s="421">
        <v>4</v>
      </c>
      <c r="AK44" s="421">
        <v>9</v>
      </c>
      <c r="AL44" s="421">
        <v>4</v>
      </c>
      <c r="AM44" s="492">
        <f>IF($D$52="Ultra Short",6.235,5.33)</f>
        <v>5.33</v>
      </c>
      <c r="AN44" s="421">
        <v>2</v>
      </c>
      <c r="AO44" s="492">
        <v>5.4</v>
      </c>
      <c r="AP44" s="421">
        <v>7</v>
      </c>
      <c r="AQ44" s="421">
        <v>8</v>
      </c>
      <c r="AR44" s="431">
        <v>1</v>
      </c>
      <c r="AS44" s="431">
        <v>0</v>
      </c>
      <c r="AT44" s="431">
        <v>10000</v>
      </c>
      <c r="AU44" s="431">
        <v>90</v>
      </c>
      <c r="AV44" s="431" t="s">
        <v>99</v>
      </c>
      <c r="AW44" s="494">
        <v>-0.83</v>
      </c>
      <c r="AX44" s="431">
        <v>156.25</v>
      </c>
      <c r="AY44" s="431">
        <v>0</v>
      </c>
    </row>
    <row r="45" spans="1:51" ht="33" hidden="1">
      <c r="A45" s="1236" t="s">
        <v>113</v>
      </c>
      <c r="B45" s="1237"/>
      <c r="C45" s="1237"/>
      <c r="D45" s="1237"/>
      <c r="E45" s="1238"/>
      <c r="F45" s="408"/>
      <c r="G45" s="414" t="s">
        <v>456</v>
      </c>
      <c r="H45" s="415" t="s">
        <v>457</v>
      </c>
      <c r="I45" s="439" t="s">
        <v>458</v>
      </c>
      <c r="J45" s="458">
        <f>ROUNDUP(1000*P49/P46,0)</f>
        <v>3594</v>
      </c>
      <c r="K45" s="414" t="s">
        <v>106</v>
      </c>
      <c r="L45" s="454"/>
      <c r="M45" s="459" t="s">
        <v>459</v>
      </c>
      <c r="N45" s="460" t="s">
        <v>460</v>
      </c>
      <c r="O45" s="460" t="s">
        <v>461</v>
      </c>
      <c r="P45" s="461">
        <f>VLOOKUP($C$41,$S$41:$AW$56,3,FALSE)</f>
        <v>32</v>
      </c>
      <c r="Q45" s="484" t="s">
        <v>110</v>
      </c>
      <c r="R45" s="454"/>
      <c r="S45" s="454"/>
      <c r="T45" s="454"/>
      <c r="U45" s="454"/>
      <c r="V45" s="454"/>
      <c r="W45" s="454"/>
      <c r="X45" s="454"/>
      <c r="Y45" s="454"/>
      <c r="Z45" s="454"/>
    </row>
    <row r="46" spans="1:51" ht="312" hidden="1">
      <c r="A46" s="416" t="s">
        <v>121</v>
      </c>
      <c r="B46" s="417" t="s">
        <v>113</v>
      </c>
      <c r="C46" s="417">
        <v>8</v>
      </c>
      <c r="D46" s="418">
        <f>C10</f>
        <v>8</v>
      </c>
      <c r="E46" s="419" t="s">
        <v>122</v>
      </c>
      <c r="F46" s="408"/>
      <c r="G46" s="420" t="s">
        <v>114</v>
      </c>
      <c r="H46" s="421" t="s">
        <v>115</v>
      </c>
      <c r="I46" s="462" t="s">
        <v>462</v>
      </c>
      <c r="J46" s="463">
        <f>IF(D51="Ultra Short",IF(D55=1,IF(D56=0,ROUNDUP(MAX(J49,J50,J51),0),ROUNDUP(MAX(J49,J50,J51,J52),0)),ROUNDUP(MAX(J49,J50,J51,J52),0)),IF(D55=1,IF(D48="TriggerWidth",ROUNDUP(MAX(J49,J72,J51)*J45/1000,0),IF(D56=0,ROUNDUP(MAX(J49,J50,J51)*J45/1000,0),ROUNDUP(MAX(J49,J50,J51,J52)*J45/1000,0))),ROUNDUP(MAX(J49,J50,J51,J52)*J45/1000,0)))</f>
        <v>11120</v>
      </c>
      <c r="K46" s="420" t="s">
        <v>117</v>
      </c>
      <c r="M46" s="420" t="s">
        <v>463</v>
      </c>
      <c r="N46" s="421" t="s">
        <v>464</v>
      </c>
      <c r="O46" s="421" t="s">
        <v>465</v>
      </c>
      <c r="P46" s="464">
        <f>P45*2</f>
        <v>64</v>
      </c>
      <c r="Q46" s="469" t="s">
        <v>110</v>
      </c>
      <c r="S46" s="454"/>
      <c r="T46" s="454"/>
      <c r="U46" s="454"/>
      <c r="V46" s="454"/>
      <c r="W46" s="454"/>
      <c r="X46" s="454"/>
      <c r="Y46" s="485"/>
      <c r="Z46" s="454"/>
    </row>
    <row r="47" spans="1:51" ht="33" hidden="1">
      <c r="A47" s="1236" t="s">
        <v>128</v>
      </c>
      <c r="B47" s="1237"/>
      <c r="C47" s="1237"/>
      <c r="D47" s="1237"/>
      <c r="E47" s="1238"/>
      <c r="F47" s="408"/>
      <c r="G47" s="422" t="s">
        <v>123</v>
      </c>
      <c r="H47" s="423" t="s">
        <v>58</v>
      </c>
      <c r="I47" s="434" t="s">
        <v>124</v>
      </c>
      <c r="J47" s="465">
        <f>1000000/J46</f>
        <v>89.928057553956833</v>
      </c>
      <c r="K47" s="422" t="s">
        <v>125</v>
      </c>
      <c r="M47" s="420" t="s">
        <v>466</v>
      </c>
      <c r="N47" s="421" t="s">
        <v>467</v>
      </c>
      <c r="O47" s="421" t="s">
        <v>109</v>
      </c>
      <c r="P47" s="464">
        <f>VLOOKUP($C$41,$S$41:$AW$56,4,FALSE)</f>
        <v>100</v>
      </c>
      <c r="Q47" s="469" t="s">
        <v>110</v>
      </c>
      <c r="S47" s="454" t="s">
        <v>414</v>
      </c>
      <c r="T47" s="454">
        <f>C62*8/J45</f>
        <v>9.1174179187534783</v>
      </c>
      <c r="U47" s="454"/>
      <c r="V47" s="454"/>
      <c r="W47" s="454"/>
      <c r="X47" s="454"/>
      <c r="Y47" s="485"/>
      <c r="Z47" s="454"/>
    </row>
    <row r="48" spans="1:51" ht="33" hidden="1">
      <c r="A48" s="414" t="s">
        <v>132</v>
      </c>
      <c r="B48" s="415" t="s">
        <v>133</v>
      </c>
      <c r="C48" s="415" t="s">
        <v>134</v>
      </c>
      <c r="D48" s="424" t="s">
        <v>134</v>
      </c>
      <c r="E48" s="425"/>
      <c r="F48" s="408"/>
      <c r="G48" s="1236" t="s">
        <v>129</v>
      </c>
      <c r="H48" s="1237"/>
      <c r="I48" s="1237"/>
      <c r="J48" s="1237"/>
      <c r="K48" s="1238"/>
      <c r="M48" s="420" t="s">
        <v>468</v>
      </c>
      <c r="N48" s="421" t="s">
        <v>469</v>
      </c>
      <c r="O48" s="421" t="s">
        <v>470</v>
      </c>
      <c r="P48" s="464">
        <f>VLOOKUP($C$41,$S$41:$AW$56,5,FALSE)</f>
        <v>64</v>
      </c>
      <c r="Q48" s="469" t="s">
        <v>110</v>
      </c>
      <c r="S48" s="454" t="s">
        <v>415</v>
      </c>
      <c r="T48" s="485">
        <f>U48-T49</f>
        <v>9.8224532374100715</v>
      </c>
      <c r="U48" s="454">
        <f>25.6*0.74</f>
        <v>18.943999999999999</v>
      </c>
      <c r="V48" s="454"/>
      <c r="W48" s="454"/>
      <c r="X48" s="454"/>
      <c r="Y48" s="485"/>
      <c r="Z48" s="454"/>
    </row>
    <row r="49" spans="1:51" ht="66" hidden="1">
      <c r="A49" s="414" t="s">
        <v>141</v>
      </c>
      <c r="B49" s="415" t="s">
        <v>128</v>
      </c>
      <c r="C49" s="415">
        <f>VLOOKUP($C$41,$S$41:$AW$56,28,FALSE)</f>
        <v>10000</v>
      </c>
      <c r="D49" s="426">
        <f>C9</f>
        <v>10000</v>
      </c>
      <c r="E49" s="425" t="s">
        <v>117</v>
      </c>
      <c r="F49" s="408"/>
      <c r="G49" s="414" t="s">
        <v>135</v>
      </c>
      <c r="H49" s="415" t="s">
        <v>136</v>
      </c>
      <c r="I49" s="421" t="s">
        <v>471</v>
      </c>
      <c r="J49" s="458">
        <f>IF(D51="Ultra Short",ROUNDUP((D63*D81+P53+P61+P63+P64)*J45/1000,0),D63*D81+P53+P61+P63+P64)</f>
        <v>3094</v>
      </c>
      <c r="K49" s="466" t="str">
        <f t="shared" ref="K49:K52" si="0">IF($D$51="Ultra Short","us","line")</f>
        <v>line</v>
      </c>
      <c r="M49" s="420" t="s">
        <v>472</v>
      </c>
      <c r="N49" s="421" t="s">
        <v>473</v>
      </c>
      <c r="O49" s="421" t="s">
        <v>470</v>
      </c>
      <c r="P49" s="464">
        <f>IF(D46=8,VLOOKUP($C$41,$S$41:$AW$56,15,FALSE),2*VLOOKUP($C$41,$S$41:$AW$56,15,FALSE))</f>
        <v>230</v>
      </c>
      <c r="Q49" s="469" t="s">
        <v>463</v>
      </c>
      <c r="S49" s="454" t="s">
        <v>416</v>
      </c>
      <c r="T49" s="454">
        <f>J61*8/1000/1000/1000</f>
        <v>9.1215467625899276</v>
      </c>
      <c r="U49" s="454"/>
      <c r="V49" s="454"/>
      <c r="W49" s="454"/>
      <c r="X49" s="454"/>
      <c r="Y49" s="485"/>
      <c r="Z49" s="454"/>
    </row>
    <row r="50" spans="1:51" ht="66" hidden="1">
      <c r="A50" s="422" t="s">
        <v>147</v>
      </c>
      <c r="B50" s="423" t="s">
        <v>148</v>
      </c>
      <c r="C50" s="415">
        <v>0</v>
      </c>
      <c r="D50" s="427">
        <f>C19</f>
        <v>0</v>
      </c>
      <c r="E50" s="428" t="s">
        <v>117</v>
      </c>
      <c r="F50" s="408"/>
      <c r="G50" s="420" t="s">
        <v>142</v>
      </c>
      <c r="H50" s="421" t="s">
        <v>143</v>
      </c>
      <c r="I50" s="421" t="s">
        <v>474</v>
      </c>
      <c r="J50" s="467">
        <f>IF(D51="Ultra Short",J75,J76)</f>
        <v>2802</v>
      </c>
      <c r="K50" s="468" t="str">
        <f t="shared" si="0"/>
        <v>line</v>
      </c>
      <c r="M50" s="420" t="s">
        <v>475</v>
      </c>
      <c r="N50" s="421" t="s">
        <v>476</v>
      </c>
      <c r="O50" s="421" t="s">
        <v>477</v>
      </c>
      <c r="P50" s="464">
        <f>ROUNDUP((P49/P46*P48),0)</f>
        <v>230</v>
      </c>
      <c r="Q50" s="469" t="s">
        <v>478</v>
      </c>
      <c r="S50" s="454" t="s">
        <v>417</v>
      </c>
      <c r="T50" s="454">
        <f>T48-T47</f>
        <v>0.70503531865659319</v>
      </c>
      <c r="U50" s="454" t="s">
        <v>418</v>
      </c>
      <c r="V50" s="454"/>
      <c r="W50" s="454"/>
      <c r="X50" s="454"/>
      <c r="Y50" s="485"/>
      <c r="Z50" s="454"/>
    </row>
    <row r="51" spans="1:51" ht="66" hidden="1">
      <c r="A51" s="421" t="s">
        <v>479</v>
      </c>
      <c r="B51" s="421" t="s">
        <v>480</v>
      </c>
      <c r="C51" s="421" t="s">
        <v>481</v>
      </c>
      <c r="D51" s="429" t="s">
        <v>481</v>
      </c>
      <c r="E51" s="430" t="s">
        <v>122</v>
      </c>
      <c r="F51" s="408"/>
      <c r="G51" s="420" t="s">
        <v>149</v>
      </c>
      <c r="H51" s="421" t="s">
        <v>150</v>
      </c>
      <c r="I51" s="421" t="s">
        <v>482</v>
      </c>
      <c r="J51" s="467">
        <f>IF(D51="Ultra Short",ROUNDUP((1000000/D75)*D74,0),ROUNDUP((1000000000/D75)/J45*D74,0))</f>
        <v>0</v>
      </c>
      <c r="K51" s="469" t="str">
        <f t="shared" si="0"/>
        <v>line</v>
      </c>
      <c r="M51" s="420" t="s">
        <v>483</v>
      </c>
      <c r="N51" s="421" t="s">
        <v>484</v>
      </c>
      <c r="O51" s="421" t="s">
        <v>472</v>
      </c>
      <c r="P51" s="464">
        <f>P49</f>
        <v>230</v>
      </c>
      <c r="Q51" s="469" t="s">
        <v>463</v>
      </c>
      <c r="S51" s="454" t="s">
        <v>419</v>
      </c>
      <c r="T51" s="454">
        <f>T47-T49</f>
        <v>-4.1288438364492919E-3</v>
      </c>
      <c r="U51" s="454" t="s">
        <v>420</v>
      </c>
      <c r="V51" s="454"/>
      <c r="W51" s="454"/>
      <c r="X51" s="454"/>
      <c r="Y51" s="485"/>
      <c r="Z51" s="454"/>
    </row>
    <row r="52" spans="1:51" ht="33" hidden="1">
      <c r="A52" s="431" t="s">
        <v>155</v>
      </c>
      <c r="B52" s="432" t="str">
        <f>"交叠曝光时间
(0-"&amp;INT(J58*J45/1000)&amp;")"</f>
        <v>交叠曝光时间
(0-11044)</v>
      </c>
      <c r="C52" s="415">
        <f>INT((C63+P63+P64)*J45/1000)</f>
        <v>11044</v>
      </c>
      <c r="D52" s="433">
        <v>0</v>
      </c>
      <c r="E52" s="428" t="s">
        <v>117</v>
      </c>
      <c r="F52" s="408"/>
      <c r="G52" s="422" t="s">
        <v>156</v>
      </c>
      <c r="H52" s="434" t="s">
        <v>157</v>
      </c>
      <c r="I52" s="434" t="s">
        <v>158</v>
      </c>
      <c r="J52" s="470">
        <f>IF(D51="Ultra Short",P97,ROUNDUP(P97*1000/J45,0))</f>
        <v>2889</v>
      </c>
      <c r="K52" s="469" t="str">
        <f t="shared" si="0"/>
        <v>line</v>
      </c>
      <c r="M52" s="420" t="s">
        <v>485</v>
      </c>
      <c r="N52" s="421" t="s">
        <v>486</v>
      </c>
      <c r="O52" s="421" t="s">
        <v>470</v>
      </c>
      <c r="P52" s="464">
        <f>VLOOKUP($C$41,$S$44:$AW$61,10,FALSE)</f>
        <v>4</v>
      </c>
      <c r="Q52" s="469" t="s">
        <v>119</v>
      </c>
      <c r="S52" s="454"/>
      <c r="T52" s="454"/>
      <c r="U52" s="454"/>
      <c r="V52" s="454"/>
      <c r="W52" s="454"/>
      <c r="X52" s="454"/>
      <c r="Y52" s="485"/>
      <c r="Z52" s="454"/>
    </row>
    <row r="53" spans="1:51" ht="49.5" hidden="1">
      <c r="A53" s="435" t="s">
        <v>161</v>
      </c>
      <c r="B53" s="436" t="s">
        <v>162</v>
      </c>
      <c r="C53" s="434" t="s">
        <v>163</v>
      </c>
      <c r="D53" s="437">
        <v>2000</v>
      </c>
      <c r="E53" s="428" t="s">
        <v>117</v>
      </c>
      <c r="F53" s="408"/>
      <c r="G53" s="1236" t="s">
        <v>164</v>
      </c>
      <c r="H53" s="1237"/>
      <c r="I53" s="1237"/>
      <c r="J53" s="1237"/>
      <c r="K53" s="1238"/>
      <c r="M53" s="420" t="s">
        <v>138</v>
      </c>
      <c r="N53" s="421" t="s">
        <v>487</v>
      </c>
      <c r="O53" s="421" t="s">
        <v>470</v>
      </c>
      <c r="P53" s="464">
        <f>VLOOKUP($C$41,$S$41:$AW$55,16,FALSE)</f>
        <v>14</v>
      </c>
      <c r="Q53" s="469" t="s">
        <v>140</v>
      </c>
      <c r="S53" s="454"/>
      <c r="T53" s="454"/>
      <c r="U53" s="454"/>
      <c r="V53" s="454"/>
      <c r="W53" s="454"/>
      <c r="X53" s="454"/>
      <c r="Y53" s="490"/>
      <c r="Z53" s="490"/>
    </row>
    <row r="54" spans="1:51" ht="66" hidden="1">
      <c r="A54" s="1239" t="s">
        <v>167</v>
      </c>
      <c r="B54" s="1240"/>
      <c r="C54" s="1240"/>
      <c r="D54" s="1240"/>
      <c r="E54" s="1241"/>
      <c r="F54" s="408"/>
      <c r="G54" s="438" t="s">
        <v>488</v>
      </c>
      <c r="H54" s="439" t="s">
        <v>489</v>
      </c>
      <c r="I54" s="439" t="s">
        <v>490</v>
      </c>
      <c r="J54" s="458" t="str">
        <f>IF($D$51="Ultra Short",ROUNDUP(((D49-P65)*P46),0),"-")</f>
        <v>-</v>
      </c>
      <c r="K54" s="471" t="s">
        <v>463</v>
      </c>
      <c r="M54" s="420" t="s">
        <v>491</v>
      </c>
      <c r="N54" s="421" t="s">
        <v>492</v>
      </c>
      <c r="O54" s="421" t="s">
        <v>470</v>
      </c>
      <c r="P54" s="464">
        <f>VLOOKUP($C$41,$S$41:$AW$55,17,FALSE)</f>
        <v>17</v>
      </c>
      <c r="Q54" s="469" t="s">
        <v>140</v>
      </c>
      <c r="S54" s="454"/>
      <c r="T54" s="454"/>
      <c r="U54" s="454"/>
      <c r="V54" s="454"/>
      <c r="W54" s="454"/>
      <c r="X54" s="454"/>
      <c r="Y54" s="490"/>
      <c r="Z54" s="490"/>
    </row>
    <row r="55" spans="1:51" ht="66" hidden="1">
      <c r="A55" s="421" t="s">
        <v>172</v>
      </c>
      <c r="B55" s="421" t="s">
        <v>167</v>
      </c>
      <c r="C55" s="421">
        <v>0</v>
      </c>
      <c r="D55" s="429">
        <f>C20</f>
        <v>0</v>
      </c>
      <c r="E55" s="440"/>
      <c r="F55" s="408"/>
      <c r="G55" s="438" t="s">
        <v>141</v>
      </c>
      <c r="H55" s="439" t="s">
        <v>493</v>
      </c>
      <c r="I55" s="421" t="s">
        <v>494</v>
      </c>
      <c r="J55" s="458">
        <f>IF(D51="Ultra Short",D49,MAX(ROUNDUP(((D49-P60)*1000/J45),0),1))</f>
        <v>2779</v>
      </c>
      <c r="K55" s="472" t="str">
        <f t="shared" ref="K55:K58" si="1">IF($D$51="Ultra Short","us","line")</f>
        <v>line</v>
      </c>
      <c r="M55" s="420" t="s">
        <v>495</v>
      </c>
      <c r="N55" s="421" t="s">
        <v>496</v>
      </c>
      <c r="O55" s="421" t="s">
        <v>470</v>
      </c>
      <c r="P55" s="464">
        <f>VLOOKUP($C$41,$S$41:$AW$55,20,FALSE)</f>
        <v>4</v>
      </c>
      <c r="Q55" s="469" t="s">
        <v>140</v>
      </c>
      <c r="S55" s="454"/>
      <c r="T55" s="454"/>
      <c r="U55" s="454"/>
      <c r="V55" s="454"/>
      <c r="W55" s="454"/>
      <c r="X55" s="454"/>
      <c r="Y55" s="490"/>
      <c r="Z55" s="490"/>
    </row>
    <row r="56" spans="1:51" ht="66" hidden="1">
      <c r="A56" s="416" t="s">
        <v>178</v>
      </c>
      <c r="B56" s="417" t="s">
        <v>179</v>
      </c>
      <c r="C56" s="417">
        <v>0</v>
      </c>
      <c r="D56" s="441">
        <v>0</v>
      </c>
      <c r="E56" s="419"/>
      <c r="F56" s="408"/>
      <c r="G56" s="442" t="s">
        <v>173</v>
      </c>
      <c r="H56" s="431" t="s">
        <v>174</v>
      </c>
      <c r="I56" s="431" t="s">
        <v>497</v>
      </c>
      <c r="J56" s="463">
        <f>IF(D51="Ultra Short",D50,ROUNDUP(((D50*1000)/J45),0))</f>
        <v>0</v>
      </c>
      <c r="K56" s="473" t="str">
        <f t="shared" si="1"/>
        <v>line</v>
      </c>
      <c r="M56" s="420" t="s">
        <v>498</v>
      </c>
      <c r="N56" s="421" t="s">
        <v>499</v>
      </c>
      <c r="O56" s="421" t="s">
        <v>470</v>
      </c>
      <c r="P56" s="464">
        <f>VLOOKUP($C$41,$S$41:$AW$55,21,FALSE)</f>
        <v>5.33</v>
      </c>
      <c r="Q56" s="469" t="s">
        <v>117</v>
      </c>
    </row>
    <row r="57" spans="1:51" ht="66" hidden="1">
      <c r="A57" s="1242" t="s">
        <v>185</v>
      </c>
      <c r="B57" s="1243"/>
      <c r="C57" s="1243"/>
      <c r="D57" s="1243"/>
      <c r="E57" s="1244"/>
      <c r="F57" s="408"/>
      <c r="G57" s="420" t="s">
        <v>500</v>
      </c>
      <c r="H57" s="421" t="s">
        <v>501</v>
      </c>
      <c r="I57" s="421" t="s">
        <v>502</v>
      </c>
      <c r="J57" s="474">
        <f>IF(D51="Ultra Short",200,MAX((D49+P57+4*J45/1000),100))</f>
        <v>10034.376</v>
      </c>
      <c r="K57" s="469" t="s">
        <v>117</v>
      </c>
      <c r="M57" s="475" t="s">
        <v>503</v>
      </c>
      <c r="N57" s="476" t="s">
        <v>504</v>
      </c>
      <c r="O57" s="476" t="s">
        <v>505</v>
      </c>
      <c r="P57" s="464">
        <f>ROUNDUP(P55*P51/P46+P56,0)</f>
        <v>20</v>
      </c>
      <c r="Q57" s="469" t="s">
        <v>117</v>
      </c>
    </row>
    <row r="58" spans="1:51" ht="66" hidden="1">
      <c r="A58" s="416" t="s">
        <v>190</v>
      </c>
      <c r="B58" s="417" t="s">
        <v>191</v>
      </c>
      <c r="C58" s="417">
        <v>0</v>
      </c>
      <c r="D58" s="418">
        <v>0</v>
      </c>
      <c r="E58" s="419" t="s">
        <v>117</v>
      </c>
      <c r="F58" s="408"/>
      <c r="G58" s="420" t="s">
        <v>506</v>
      </c>
      <c r="H58" s="421" t="s">
        <v>507</v>
      </c>
      <c r="I58" s="421" t="s">
        <v>508</v>
      </c>
      <c r="J58" s="474">
        <f>IF(D51="Ultra Short",ROUNDUP((D63*D81+P63+P64)*J45/1000,0),D63*D81+P63+P64)</f>
        <v>3073</v>
      </c>
      <c r="K58" s="472" t="str">
        <f t="shared" si="1"/>
        <v>line</v>
      </c>
      <c r="M58" s="420" t="s">
        <v>509</v>
      </c>
      <c r="N58" s="421" t="s">
        <v>510</v>
      </c>
      <c r="O58" s="421" t="s">
        <v>470</v>
      </c>
      <c r="P58" s="464">
        <f>VLOOKUP($C$41,$S$41:$AW$55,22,FALSE)</f>
        <v>2</v>
      </c>
      <c r="Q58" s="469" t="s">
        <v>140</v>
      </c>
    </row>
    <row r="59" spans="1:51" hidden="1">
      <c r="A59" s="1242" t="s">
        <v>193</v>
      </c>
      <c r="B59" s="1243"/>
      <c r="C59" s="1243"/>
      <c r="D59" s="1243"/>
      <c r="E59" s="1244"/>
      <c r="F59" s="408"/>
      <c r="G59" s="1242" t="s">
        <v>192</v>
      </c>
      <c r="H59" s="1243"/>
      <c r="I59" s="1243"/>
      <c r="J59" s="1243"/>
      <c r="K59" s="1244"/>
      <c r="M59" s="420" t="s">
        <v>511</v>
      </c>
      <c r="N59" s="421" t="s">
        <v>512</v>
      </c>
      <c r="O59" s="421" t="s">
        <v>470</v>
      </c>
      <c r="P59" s="464">
        <f>VLOOKUP($C$41,$S$41:$AW$55,23,FALSE)</f>
        <v>5.4</v>
      </c>
      <c r="Q59" s="469" t="s">
        <v>117</v>
      </c>
    </row>
    <row r="60" spans="1:51" hidden="1">
      <c r="A60" s="414" t="s">
        <v>202</v>
      </c>
      <c r="B60" s="415" t="s">
        <v>203</v>
      </c>
      <c r="C60" s="415">
        <v>0</v>
      </c>
      <c r="D60" s="426">
        <v>0</v>
      </c>
      <c r="E60" s="443" t="s">
        <v>119</v>
      </c>
      <c r="F60" s="408"/>
      <c r="G60" s="438" t="s">
        <v>194</v>
      </c>
      <c r="H60" s="439" t="s">
        <v>195</v>
      </c>
      <c r="I60" s="439" t="s">
        <v>196</v>
      </c>
      <c r="J60" s="458">
        <f>J47*P86</f>
        <v>1131556834.5323741</v>
      </c>
      <c r="K60" s="477" t="s">
        <v>197</v>
      </c>
      <c r="M60" s="475" t="s">
        <v>513</v>
      </c>
      <c r="N60" s="476" t="s">
        <v>153</v>
      </c>
      <c r="O60" s="476" t="s">
        <v>514</v>
      </c>
      <c r="P60" s="464">
        <f>ROUNDUP(P58*P51/P46+P59,0)</f>
        <v>13</v>
      </c>
      <c r="Q60" s="469" t="s">
        <v>117</v>
      </c>
    </row>
    <row r="61" spans="1:51" ht="33" hidden="1">
      <c r="A61" s="442" t="s">
        <v>210</v>
      </c>
      <c r="B61" s="431" t="s">
        <v>211</v>
      </c>
      <c r="C61" s="431">
        <v>0</v>
      </c>
      <c r="D61" s="444">
        <v>0</v>
      </c>
      <c r="E61" s="445" t="s">
        <v>119</v>
      </c>
      <c r="F61" s="408"/>
      <c r="G61" s="446" t="s">
        <v>204</v>
      </c>
      <c r="H61" s="447" t="s">
        <v>205</v>
      </c>
      <c r="I61" s="431" t="s">
        <v>206</v>
      </c>
      <c r="J61" s="463">
        <f>J47*P93</f>
        <v>1140193345.323741</v>
      </c>
      <c r="K61" s="471" t="s">
        <v>197</v>
      </c>
      <c r="M61" s="420" t="s">
        <v>159</v>
      </c>
      <c r="N61" s="421" t="s">
        <v>515</v>
      </c>
      <c r="O61" s="421" t="s">
        <v>470</v>
      </c>
      <c r="P61" s="464">
        <f>VLOOKUP($C$41,$S$41:$AW$55,24,FALSE)</f>
        <v>7</v>
      </c>
      <c r="Q61" s="469" t="s">
        <v>140</v>
      </c>
    </row>
    <row r="62" spans="1:51" ht="49.5" hidden="1">
      <c r="A62" s="442" t="s">
        <v>218</v>
      </c>
      <c r="B62" s="431" t="s">
        <v>19</v>
      </c>
      <c r="C62" s="431">
        <f>VLOOKUP($C$41,$S$41:$AW$56,13,FALSE)</f>
        <v>4096</v>
      </c>
      <c r="D62" s="444">
        <f>C4</f>
        <v>4096</v>
      </c>
      <c r="E62" s="445" t="s">
        <v>119</v>
      </c>
      <c r="F62" s="408"/>
      <c r="G62" s="448" t="s">
        <v>212</v>
      </c>
      <c r="H62" s="449" t="s">
        <v>213</v>
      </c>
      <c r="I62" s="434" t="s">
        <v>214</v>
      </c>
      <c r="J62" s="478">
        <f>1250*D69*(100-D72)</f>
        <v>1225000000</v>
      </c>
      <c r="K62" s="479" t="s">
        <v>197</v>
      </c>
      <c r="M62" s="420" t="s">
        <v>516</v>
      </c>
      <c r="N62" s="421" t="s">
        <v>517</v>
      </c>
      <c r="O62" s="421" t="s">
        <v>470</v>
      </c>
      <c r="P62" s="464">
        <f>VLOOKUP($C$41,$S$41:$AW$55,25,FALSE)</f>
        <v>8</v>
      </c>
      <c r="Q62" s="469" t="s">
        <v>140</v>
      </c>
      <c r="R62" s="454"/>
      <c r="S62" s="1242" t="s">
        <v>255</v>
      </c>
      <c r="T62" s="1243"/>
      <c r="U62" s="1243"/>
      <c r="V62" s="1243"/>
      <c r="W62" s="1243"/>
      <c r="X62" s="1245"/>
    </row>
    <row r="63" spans="1:51" ht="33" hidden="1">
      <c r="A63" s="450" t="s">
        <v>223</v>
      </c>
      <c r="B63" s="434" t="s">
        <v>20</v>
      </c>
      <c r="C63" s="434">
        <f>VLOOKUP($C$41,$S$41:$AW$56,14,FALSE)</f>
        <v>3072</v>
      </c>
      <c r="D63" s="451">
        <f>C5</f>
        <v>3072</v>
      </c>
      <c r="E63" s="428" t="s">
        <v>119</v>
      </c>
      <c r="F63" s="408"/>
      <c r="G63" s="1242" t="s">
        <v>219</v>
      </c>
      <c r="H63" s="1243"/>
      <c r="I63" s="1243"/>
      <c r="J63" s="1243"/>
      <c r="K63" s="1244"/>
      <c r="M63" s="420" t="s">
        <v>518</v>
      </c>
      <c r="N63" s="421" t="s">
        <v>519</v>
      </c>
      <c r="O63" s="421" t="s">
        <v>470</v>
      </c>
      <c r="P63" s="464">
        <f>VLOOKUP($C$41,$S$41:$AW$55,26,FALSE)</f>
        <v>1</v>
      </c>
      <c r="Q63" s="469" t="s">
        <v>140</v>
      </c>
      <c r="R63" s="454"/>
      <c r="S63" s="409" t="s">
        <v>263</v>
      </c>
      <c r="T63" s="410" t="s">
        <v>264</v>
      </c>
      <c r="U63" s="410" t="s">
        <v>92</v>
      </c>
      <c r="V63" s="410" t="s">
        <v>93</v>
      </c>
      <c r="W63" s="486" t="s">
        <v>265</v>
      </c>
      <c r="X63" s="411" t="s">
        <v>266</v>
      </c>
    </row>
    <row r="64" spans="1:51" s="200" customFormat="1" ht="148.5" hidden="1">
      <c r="A64" s="1242" t="s">
        <v>230</v>
      </c>
      <c r="B64" s="1243"/>
      <c r="C64" s="1243"/>
      <c r="D64" s="1243"/>
      <c r="E64" s="1244"/>
      <c r="F64" s="408"/>
      <c r="G64" s="452" t="s">
        <v>224</v>
      </c>
      <c r="H64" s="453" t="s">
        <v>225</v>
      </c>
      <c r="I64" s="439" t="s">
        <v>226</v>
      </c>
      <c r="J64" s="458">
        <f>IF(D69=10000,0,IF(D69=5000,1,IF(D69=2500,2,IF(D69=1000,3,3))))</f>
        <v>0</v>
      </c>
      <c r="K64" s="477" t="s">
        <v>163</v>
      </c>
      <c r="L64" s="404"/>
      <c r="M64" s="420" t="s">
        <v>520</v>
      </c>
      <c r="N64" s="421" t="s">
        <v>521</v>
      </c>
      <c r="O64" s="421" t="s">
        <v>470</v>
      </c>
      <c r="P64" s="464">
        <f>VLOOKUP($C$41,$S$41:$AW$55,27,FALSE)</f>
        <v>0</v>
      </c>
      <c r="Q64" s="469" t="s">
        <v>140</v>
      </c>
      <c r="R64" s="454"/>
      <c r="S64" s="442" t="s">
        <v>522</v>
      </c>
      <c r="T64" s="487" t="s">
        <v>523</v>
      </c>
      <c r="U64" s="431" t="s">
        <v>524</v>
      </c>
      <c r="V64" s="431" t="s">
        <v>525</v>
      </c>
      <c r="W64" s="488" t="str">
        <f>"0x"&amp;DEC2HEX(IF(D51="Ultra Short",P48,P50))</f>
        <v>0xE6</v>
      </c>
      <c r="X64" s="489" t="s">
        <v>526</v>
      </c>
      <c r="Y64" s="404"/>
      <c r="Z64" s="404" t="s">
        <v>527</v>
      </c>
      <c r="AA64" s="404"/>
      <c r="AB64" s="404"/>
      <c r="AC64" s="404"/>
      <c r="AD64" s="404"/>
      <c r="AE64" s="404"/>
      <c r="AF64" s="404"/>
      <c r="AG64" s="404"/>
      <c r="AH64" s="404"/>
      <c r="AI64" s="404"/>
      <c r="AJ64" s="404"/>
      <c r="AK64" s="404"/>
      <c r="AL64" s="404"/>
      <c r="AM64" s="404"/>
      <c r="AN64" s="404"/>
      <c r="AO64" s="404"/>
      <c r="AP64" s="404"/>
      <c r="AQ64" s="404"/>
      <c r="AR64" s="404"/>
      <c r="AS64" s="404"/>
      <c r="AT64" s="404"/>
      <c r="AU64" s="404"/>
      <c r="AV64" s="404"/>
      <c r="AW64" s="404"/>
      <c r="AX64" s="404"/>
      <c r="AY64" s="404"/>
    </row>
    <row r="65" spans="1:51" s="200" customFormat="1" ht="49.5" hidden="1">
      <c r="A65" s="495" t="s">
        <v>236</v>
      </c>
      <c r="B65" s="496" t="s">
        <v>237</v>
      </c>
      <c r="C65" s="497">
        <v>0</v>
      </c>
      <c r="D65" s="498">
        <v>0</v>
      </c>
      <c r="E65" s="499" t="s">
        <v>122</v>
      </c>
      <c r="F65" s="408"/>
      <c r="G65" s="500" t="s">
        <v>231</v>
      </c>
      <c r="H65" s="501" t="s">
        <v>232</v>
      </c>
      <c r="I65" s="435" t="s">
        <v>233</v>
      </c>
      <c r="J65" s="522">
        <f>ROUNDUP(D71*VLOOKUP($C$41,$S$41:$AX$56,32,FALSE)/1000,0)</f>
        <v>0</v>
      </c>
      <c r="K65" s="523" t="s">
        <v>154</v>
      </c>
      <c r="L65" s="404"/>
      <c r="M65" s="475" t="s">
        <v>528</v>
      </c>
      <c r="N65" s="476" t="s">
        <v>529</v>
      </c>
      <c r="O65" s="476" t="s">
        <v>470</v>
      </c>
      <c r="P65" s="464">
        <f>VLOOKUP($C$41,$S$41:$AX$55,31,FALSE)</f>
        <v>-0.83</v>
      </c>
      <c r="Q65" s="469" t="s">
        <v>117</v>
      </c>
      <c r="R65" s="404"/>
      <c r="S65" s="538" t="s">
        <v>530</v>
      </c>
      <c r="T65" s="487" t="s">
        <v>531</v>
      </c>
      <c r="U65" s="539" t="s">
        <v>532</v>
      </c>
      <c r="V65" s="415" t="s">
        <v>533</v>
      </c>
      <c r="W65" s="488" t="str">
        <f>"0x"&amp;DEC2HEX(J56)</f>
        <v>0x0</v>
      </c>
      <c r="X65" s="540"/>
      <c r="Y65" s="404"/>
      <c r="Z65" s="404" t="s">
        <v>534</v>
      </c>
      <c r="AA65" s="404"/>
      <c r="AB65" s="404"/>
      <c r="AC65" s="404"/>
      <c r="AD65" s="404"/>
      <c r="AE65" s="404"/>
      <c r="AF65" s="404"/>
      <c r="AG65" s="404"/>
      <c r="AH65" s="404"/>
      <c r="AI65" s="404"/>
      <c r="AJ65" s="404"/>
      <c r="AK65" s="404"/>
      <c r="AL65" s="404"/>
      <c r="AM65" s="404"/>
      <c r="AN65" s="404"/>
      <c r="AO65" s="404"/>
      <c r="AP65" s="404"/>
      <c r="AQ65" s="404"/>
      <c r="AR65" s="404"/>
      <c r="AS65" s="404"/>
      <c r="AT65" s="404"/>
      <c r="AU65" s="404"/>
      <c r="AV65" s="404"/>
      <c r="AW65" s="404"/>
      <c r="AX65" s="404"/>
      <c r="AY65" s="404"/>
    </row>
    <row r="66" spans="1:51" s="200" customFormat="1" ht="33" hidden="1">
      <c r="A66" s="1242" t="s">
        <v>242</v>
      </c>
      <c r="B66" s="1243"/>
      <c r="C66" s="1243"/>
      <c r="D66" s="1243"/>
      <c r="E66" s="1244"/>
      <c r="F66" s="408"/>
      <c r="G66" s="1242" t="s">
        <v>238</v>
      </c>
      <c r="H66" s="1243"/>
      <c r="I66" s="1243"/>
      <c r="J66" s="1243"/>
      <c r="K66" s="1244"/>
      <c r="L66" s="404"/>
      <c r="M66" s="475" t="s">
        <v>176</v>
      </c>
      <c r="N66" s="476" t="s">
        <v>177</v>
      </c>
      <c r="O66" s="476" t="s">
        <v>470</v>
      </c>
      <c r="P66" s="464">
        <f>VLOOKUP($C$41,$S$41:$AY$55,33,FALSE)</f>
        <v>0</v>
      </c>
      <c r="Q66" s="469" t="s">
        <v>117</v>
      </c>
      <c r="R66" s="404"/>
      <c r="S66" s="541" t="s">
        <v>535</v>
      </c>
      <c r="T66" s="487" t="s">
        <v>536</v>
      </c>
      <c r="U66" s="542" t="s">
        <v>537</v>
      </c>
      <c r="V66" s="421" t="s">
        <v>538</v>
      </c>
      <c r="W66" s="488" t="str">
        <f>"0x"&amp;DEC2HEX(J55)</f>
        <v>0xADB</v>
      </c>
      <c r="X66" s="543"/>
      <c r="Y66" s="404"/>
      <c r="Z66" s="404" t="s">
        <v>539</v>
      </c>
      <c r="AA66" s="404"/>
      <c r="AB66" s="404"/>
      <c r="AC66" s="404"/>
      <c r="AD66" s="404"/>
      <c r="AE66" s="404"/>
      <c r="AF66" s="404"/>
      <c r="AG66" s="404"/>
      <c r="AH66" s="404"/>
      <c r="AI66" s="404"/>
      <c r="AJ66" s="404"/>
      <c r="AK66" s="404"/>
      <c r="AL66" s="404"/>
      <c r="AM66" s="404"/>
      <c r="AN66" s="404"/>
      <c r="AO66" s="404"/>
      <c r="AP66" s="404"/>
      <c r="AQ66" s="404"/>
      <c r="AR66" s="404"/>
      <c r="AS66" s="404"/>
      <c r="AT66" s="404"/>
      <c r="AU66" s="404"/>
      <c r="AV66" s="404"/>
      <c r="AW66" s="404"/>
      <c r="AX66" s="404"/>
      <c r="AY66" s="404"/>
    </row>
    <row r="67" spans="1:51" s="200" customFormat="1" ht="33" hidden="1">
      <c r="A67" s="502" t="s">
        <v>249</v>
      </c>
      <c r="B67" s="503" t="s">
        <v>250</v>
      </c>
      <c r="C67" s="504">
        <v>0</v>
      </c>
      <c r="D67" s="505">
        <v>0</v>
      </c>
      <c r="E67" s="506" t="s">
        <v>122</v>
      </c>
      <c r="F67" s="404"/>
      <c r="G67" s="507" t="s">
        <v>243</v>
      </c>
      <c r="H67" s="508" t="s">
        <v>244</v>
      </c>
      <c r="I67" s="524" t="s">
        <v>245</v>
      </c>
      <c r="J67" s="525">
        <f>IF(ROUNDUP(P100*1000*8/D69,0)&gt;200000000,200000000,ROUNDUP(P100*1000*8/D69,0))</f>
        <v>6311964</v>
      </c>
      <c r="K67" s="526" t="s">
        <v>106</v>
      </c>
      <c r="L67" s="404"/>
      <c r="M67" s="1246" t="s">
        <v>189</v>
      </c>
      <c r="N67" s="1247"/>
      <c r="O67" s="1247"/>
      <c r="P67" s="1247"/>
      <c r="Q67" s="1248"/>
      <c r="R67" s="404"/>
      <c r="S67" s="541" t="s">
        <v>540</v>
      </c>
      <c r="T67" s="487" t="s">
        <v>541</v>
      </c>
      <c r="U67" s="542" t="s">
        <v>542</v>
      </c>
      <c r="V67" s="421" t="s">
        <v>543</v>
      </c>
      <c r="W67" s="488" t="str">
        <f>"0x"&amp;DEC2HEX(J49)</f>
        <v>0xC16</v>
      </c>
      <c r="X67" s="543"/>
      <c r="Y67" s="404"/>
      <c r="Z67" s="404" t="s">
        <v>544</v>
      </c>
      <c r="AA67" s="404"/>
      <c r="AB67" s="404"/>
      <c r="AC67" s="404"/>
      <c r="AD67" s="404"/>
      <c r="AE67" s="404"/>
      <c r="AF67" s="404"/>
      <c r="AG67" s="404"/>
      <c r="AH67" s="404"/>
      <c r="AI67" s="404"/>
      <c r="AJ67" s="404"/>
      <c r="AK67" s="404"/>
      <c r="AL67" s="404"/>
      <c r="AM67" s="404"/>
      <c r="AN67" s="404"/>
      <c r="AO67" s="404"/>
      <c r="AP67" s="404"/>
      <c r="AQ67" s="404"/>
      <c r="AR67" s="404"/>
      <c r="AS67" s="404"/>
      <c r="AT67" s="404"/>
      <c r="AU67" s="404"/>
      <c r="AV67" s="404"/>
      <c r="AW67" s="404"/>
      <c r="AX67" s="404"/>
      <c r="AY67" s="404"/>
    </row>
    <row r="68" spans="1:51" s="200" customFormat="1" ht="33" hidden="1">
      <c r="A68" s="1242" t="s">
        <v>256</v>
      </c>
      <c r="B68" s="1243"/>
      <c r="C68" s="1243"/>
      <c r="D68" s="1243"/>
      <c r="E68" s="1244"/>
      <c r="F68" s="404"/>
      <c r="G68" s="1242" t="s">
        <v>251</v>
      </c>
      <c r="H68" s="1243"/>
      <c r="I68" s="1243"/>
      <c r="J68" s="1243"/>
      <c r="K68" s="1244"/>
      <c r="L68" s="404"/>
      <c r="M68" s="409" t="s">
        <v>91</v>
      </c>
      <c r="N68" s="410" t="s">
        <v>92</v>
      </c>
      <c r="O68" s="410" t="s">
        <v>93</v>
      </c>
      <c r="P68" s="410" t="s">
        <v>96</v>
      </c>
      <c r="Q68" s="544" t="s">
        <v>95</v>
      </c>
      <c r="R68" s="404"/>
      <c r="S68" s="541" t="s">
        <v>545</v>
      </c>
      <c r="T68" s="487" t="s">
        <v>546</v>
      </c>
      <c r="U68" s="542" t="s">
        <v>547</v>
      </c>
      <c r="V68" s="421" t="s">
        <v>548</v>
      </c>
      <c r="W68" s="488" t="str">
        <f>"0x"&amp;DEC2HEX(MAX(J49,J50,J51,J52))</f>
        <v>0xC16</v>
      </c>
      <c r="X68" s="543"/>
      <c r="Y68" s="404"/>
      <c r="Z68" s="404" t="s">
        <v>549</v>
      </c>
      <c r="AA68" s="404"/>
      <c r="AB68" s="404"/>
      <c r="AC68" s="404"/>
      <c r="AD68" s="404"/>
      <c r="AE68" s="404"/>
      <c r="AF68" s="404"/>
      <c r="AG68" s="404"/>
      <c r="AH68" s="404"/>
      <c r="AI68" s="404"/>
      <c r="AJ68" s="404"/>
      <c r="AK68" s="404"/>
      <c r="AL68" s="404"/>
      <c r="AM68" s="404"/>
      <c r="AN68" s="404"/>
      <c r="AO68" s="404"/>
      <c r="AP68" s="404"/>
      <c r="AQ68" s="404"/>
      <c r="AR68" s="404"/>
      <c r="AS68" s="404"/>
      <c r="AT68" s="404"/>
      <c r="AU68" s="404"/>
      <c r="AV68" s="404"/>
      <c r="AW68" s="404"/>
      <c r="AX68" s="404"/>
      <c r="AY68" s="404"/>
    </row>
    <row r="69" spans="1:51" s="200" customFormat="1" ht="33" hidden="1">
      <c r="A69" s="438" t="s">
        <v>267</v>
      </c>
      <c r="B69" s="439" t="s">
        <v>268</v>
      </c>
      <c r="C69" s="509" t="s">
        <v>122</v>
      </c>
      <c r="D69" s="510">
        <f>C11</f>
        <v>10000</v>
      </c>
      <c r="E69" s="425" t="s">
        <v>269</v>
      </c>
      <c r="F69" s="404"/>
      <c r="G69" s="507" t="s">
        <v>257</v>
      </c>
      <c r="H69" s="508" t="s">
        <v>251</v>
      </c>
      <c r="I69" s="524" t="s">
        <v>258</v>
      </c>
      <c r="J69" s="525">
        <f>IF((100-ROUNDDOWN(10*P95/(125000*D69),0)-1)&lt;0,0,(100-ROUNDDOWN(10*P95/(125000*D69),0)-1))</f>
        <v>99</v>
      </c>
      <c r="K69" s="526" t="s">
        <v>259</v>
      </c>
      <c r="L69" s="404"/>
      <c r="M69" s="414" t="s">
        <v>198</v>
      </c>
      <c r="N69" s="415" t="s">
        <v>199</v>
      </c>
      <c r="O69" s="415" t="s">
        <v>200</v>
      </c>
      <c r="P69" s="527">
        <v>7</v>
      </c>
      <c r="Q69" s="545" t="s">
        <v>201</v>
      </c>
      <c r="R69" s="404"/>
      <c r="S69" s="541" t="s">
        <v>550</v>
      </c>
      <c r="T69" s="487" t="s">
        <v>551</v>
      </c>
      <c r="U69" s="542" t="s">
        <v>552</v>
      </c>
      <c r="V69" s="421" t="s">
        <v>548</v>
      </c>
      <c r="W69" s="488" t="str">
        <f>"0x"&amp;IF(D48="TriggerWidth",DEC2HEX(MAX(J49,J51)),IF(D56=0,DEC2HEX(MAX(J49,J50,IF(D67=1,0,J51))),DEC2HEX(MAX(J49,J50,IF(D67=1,0,J51),J52))))</f>
        <v>0xC16</v>
      </c>
      <c r="X69" s="543"/>
      <c r="Y69" s="404"/>
      <c r="Z69" s="404" t="s">
        <v>553</v>
      </c>
      <c r="AA69" s="404"/>
      <c r="AB69" s="404"/>
      <c r="AC69" s="404"/>
      <c r="AD69" s="404"/>
      <c r="AE69" s="404"/>
      <c r="AF69" s="404"/>
      <c r="AG69" s="404"/>
      <c r="AH69" s="404"/>
      <c r="AI69" s="404"/>
      <c r="AJ69" s="404"/>
      <c r="AK69" s="404"/>
      <c r="AL69" s="404"/>
      <c r="AM69" s="404"/>
      <c r="AN69" s="404"/>
      <c r="AO69" s="404"/>
      <c r="AP69" s="404"/>
      <c r="AQ69" s="404"/>
      <c r="AR69" s="404"/>
      <c r="AS69" s="404"/>
      <c r="AT69" s="404"/>
      <c r="AU69" s="404"/>
      <c r="AV69" s="404"/>
      <c r="AW69" s="404"/>
      <c r="AX69" s="404"/>
      <c r="AY69" s="404"/>
    </row>
    <row r="70" spans="1:51" s="200" customFormat="1" ht="66" hidden="1">
      <c r="A70" s="442" t="s">
        <v>276</v>
      </c>
      <c r="B70" s="431" t="s">
        <v>34</v>
      </c>
      <c r="C70" s="511">
        <v>1500</v>
      </c>
      <c r="D70" s="444">
        <v>8164</v>
      </c>
      <c r="E70" s="445" t="s">
        <v>201</v>
      </c>
      <c r="F70" s="404"/>
      <c r="G70" s="1242" t="s">
        <v>270</v>
      </c>
      <c r="H70" s="1243"/>
      <c r="I70" s="1243"/>
      <c r="J70" s="1243"/>
      <c r="K70" s="1244"/>
      <c r="L70" s="404"/>
      <c r="M70" s="420" t="s">
        <v>207</v>
      </c>
      <c r="N70" s="421" t="s">
        <v>208</v>
      </c>
      <c r="O70" s="421" t="s">
        <v>209</v>
      </c>
      <c r="P70" s="528">
        <v>1</v>
      </c>
      <c r="Q70" s="469" t="s">
        <v>201</v>
      </c>
      <c r="R70" s="404"/>
      <c r="S70" s="541" t="s">
        <v>554</v>
      </c>
      <c r="T70" s="487" t="s">
        <v>555</v>
      </c>
      <c r="U70" s="542" t="s">
        <v>556</v>
      </c>
      <c r="V70" s="431" t="s">
        <v>548</v>
      </c>
      <c r="W70" s="488" t="str">
        <f>"0x"&amp;DEC2HEX(MAX(J49,J50))</f>
        <v>0xC16</v>
      </c>
      <c r="X70" s="543"/>
      <c r="Y70" s="404"/>
      <c r="Z70" s="404" t="s">
        <v>557</v>
      </c>
      <c r="AA70" s="404"/>
      <c r="AB70" s="404"/>
      <c r="AC70" s="404"/>
      <c r="AD70" s="404"/>
      <c r="AE70" s="404"/>
      <c r="AF70" s="404"/>
      <c r="AG70" s="404"/>
      <c r="AH70" s="404"/>
      <c r="AI70" s="404"/>
      <c r="AJ70" s="404"/>
      <c r="AK70" s="404"/>
      <c r="AL70" s="404"/>
      <c r="AM70" s="404"/>
      <c r="AN70" s="404"/>
      <c r="AO70" s="404"/>
      <c r="AP70" s="404"/>
      <c r="AQ70" s="404"/>
      <c r="AR70" s="404"/>
      <c r="AS70" s="404"/>
      <c r="AT70" s="404"/>
      <c r="AU70" s="404"/>
      <c r="AV70" s="404"/>
      <c r="AW70" s="404"/>
      <c r="AX70" s="404"/>
      <c r="AY70" s="404"/>
    </row>
    <row r="71" spans="1:51" s="200" customFormat="1" ht="33" hidden="1">
      <c r="A71" s="442" t="str">
        <f>"流通道包间隔 
范围:0"&amp;"-"&amp;J67</f>
        <v>流通道包间隔 
范围:0-6311964</v>
      </c>
      <c r="B71" s="431" t="s">
        <v>32</v>
      </c>
      <c r="C71" s="511">
        <v>0</v>
      </c>
      <c r="D71" s="444">
        <f>C16</f>
        <v>0</v>
      </c>
      <c r="E71" s="445" t="s">
        <v>106</v>
      </c>
      <c r="F71" s="404"/>
      <c r="G71" s="442" t="s">
        <v>558</v>
      </c>
      <c r="H71" s="431" t="s">
        <v>559</v>
      </c>
      <c r="I71" s="421" t="s">
        <v>560</v>
      </c>
      <c r="J71" s="529">
        <f>MAX(INT(1000*D52/J45),1)</f>
        <v>1</v>
      </c>
      <c r="K71" s="530" t="s">
        <v>140</v>
      </c>
      <c r="L71" s="404"/>
      <c r="M71" s="420" t="s">
        <v>215</v>
      </c>
      <c r="N71" s="421" t="s">
        <v>216</v>
      </c>
      <c r="O71" s="421" t="s">
        <v>217</v>
      </c>
      <c r="P71" s="528">
        <v>14</v>
      </c>
      <c r="Q71" s="469" t="s">
        <v>201</v>
      </c>
      <c r="R71" s="404"/>
      <c r="S71" s="546" t="s">
        <v>561</v>
      </c>
      <c r="T71" s="487" t="s">
        <v>562</v>
      </c>
      <c r="U71" s="542" t="s">
        <v>563</v>
      </c>
      <c r="V71" s="421" t="s">
        <v>564</v>
      </c>
      <c r="W71" s="488" t="str">
        <f>"0x"&amp;DEC2HEX(IF(D51="Ultra Short",1,0))</f>
        <v>0x0</v>
      </c>
      <c r="X71" s="547" t="s">
        <v>565</v>
      </c>
      <c r="Y71" s="404"/>
      <c r="Z71" s="404" t="s">
        <v>566</v>
      </c>
      <c r="AA71" s="404"/>
      <c r="AB71" s="404"/>
      <c r="AC71" s="404"/>
      <c r="AD71" s="404"/>
      <c r="AE71" s="404"/>
      <c r="AF71" s="404"/>
      <c r="AG71" s="404"/>
      <c r="AH71" s="404"/>
      <c r="AI71" s="404"/>
      <c r="AJ71" s="404"/>
      <c r="AK71" s="404"/>
      <c r="AL71" s="404"/>
      <c r="AM71" s="404"/>
      <c r="AN71" s="404"/>
      <c r="AO71" s="404"/>
      <c r="AP71" s="404"/>
      <c r="AQ71" s="404"/>
      <c r="AR71" s="404"/>
      <c r="AS71" s="404"/>
      <c r="AT71" s="404"/>
      <c r="AU71" s="404"/>
      <c r="AV71" s="404"/>
      <c r="AW71" s="404"/>
      <c r="AX71" s="404"/>
      <c r="AY71" s="404"/>
    </row>
    <row r="72" spans="1:51" s="200" customFormat="1" ht="132" hidden="1">
      <c r="A72" s="450" t="str">
        <f>"预留带宽 
范围:0-"&amp;J69</f>
        <v>预留带宽 
范围:0-99</v>
      </c>
      <c r="B72" s="434" t="s">
        <v>30</v>
      </c>
      <c r="C72" s="512">
        <v>2</v>
      </c>
      <c r="D72" s="451">
        <f>C14</f>
        <v>2</v>
      </c>
      <c r="E72" s="428" t="s">
        <v>259</v>
      </c>
      <c r="F72" s="404"/>
      <c r="G72" s="442" t="s">
        <v>277</v>
      </c>
      <c r="H72" s="431" t="s">
        <v>278</v>
      </c>
      <c r="I72" s="431" t="s">
        <v>567</v>
      </c>
      <c r="J72" s="529" t="str">
        <f>IF((D55=1)*(D48="TriggerWidth"),J49+IF(ROUNDUP((1000*D53/J45),0)&gt;J71,ROUNDUP((1000*D53/J45),0)-J71,0),"null")</f>
        <v>null</v>
      </c>
      <c r="K72" s="445" t="s">
        <v>140</v>
      </c>
      <c r="L72" s="404"/>
      <c r="M72" s="420" t="s">
        <v>220</v>
      </c>
      <c r="N72" s="421" t="s">
        <v>221</v>
      </c>
      <c r="O72" s="421" t="s">
        <v>222</v>
      </c>
      <c r="P72" s="528">
        <v>20</v>
      </c>
      <c r="Q72" s="469" t="s">
        <v>201</v>
      </c>
      <c r="R72" s="404"/>
      <c r="S72" s="546" t="s">
        <v>568</v>
      </c>
      <c r="T72" s="487" t="s">
        <v>569</v>
      </c>
      <c r="U72" s="431" t="s">
        <v>570</v>
      </c>
      <c r="V72" s="431" t="s">
        <v>372</v>
      </c>
      <c r="W72" s="488" t="str">
        <f>"0x"&amp;IF((D55=1)*(D48="TriggerWidth"),1,0)</f>
        <v>0x0</v>
      </c>
      <c r="X72" s="548"/>
      <c r="Y72" s="404"/>
      <c r="Z72" s="404" t="s">
        <v>571</v>
      </c>
      <c r="AA72" s="404"/>
      <c r="AB72" s="404"/>
      <c r="AC72" s="404"/>
      <c r="AD72" s="404"/>
      <c r="AE72" s="404"/>
      <c r="AF72" s="404"/>
      <c r="AG72" s="404"/>
      <c r="AH72" s="404"/>
      <c r="AI72" s="404"/>
      <c r="AJ72" s="404"/>
      <c r="AK72" s="404"/>
      <c r="AL72" s="404"/>
      <c r="AM72" s="404"/>
      <c r="AN72" s="404"/>
      <c r="AO72" s="404"/>
      <c r="AP72" s="404"/>
      <c r="AQ72" s="404"/>
      <c r="AR72" s="404"/>
      <c r="AS72" s="404"/>
      <c r="AT72" s="404"/>
      <c r="AU72" s="404"/>
      <c r="AV72" s="404"/>
      <c r="AW72" s="404"/>
      <c r="AX72" s="404"/>
      <c r="AY72" s="404"/>
    </row>
    <row r="73" spans="1:51" ht="115.5" hidden="1">
      <c r="A73" s="1242" t="s">
        <v>293</v>
      </c>
      <c r="B73" s="1243"/>
      <c r="C73" s="1243"/>
      <c r="D73" s="1243"/>
      <c r="E73" s="1244"/>
      <c r="G73" s="442" t="s">
        <v>283</v>
      </c>
      <c r="H73" s="431" t="s">
        <v>284</v>
      </c>
      <c r="I73" s="431" t="s">
        <v>572</v>
      </c>
      <c r="J73" s="529" t="str">
        <f>IF((D55=1)*(D48="TriggerWidth"),IF(D53&gt;D52,ROUNDUP((1000*D53/J45),0)*J45/1000+P60,ROUNDUP((1000*D52/J45),0)*J45/1000+P60),"null")</f>
        <v>null</v>
      </c>
      <c r="K73" s="445" t="s">
        <v>117</v>
      </c>
      <c r="M73" s="420" t="s">
        <v>227</v>
      </c>
      <c r="N73" s="421" t="s">
        <v>228</v>
      </c>
      <c r="O73" s="421" t="s">
        <v>229</v>
      </c>
      <c r="P73" s="528">
        <v>8</v>
      </c>
      <c r="Q73" s="469" t="s">
        <v>201</v>
      </c>
      <c r="S73" s="546" t="s">
        <v>573</v>
      </c>
      <c r="T73" s="487" t="s">
        <v>574</v>
      </c>
      <c r="U73" s="431" t="s">
        <v>575</v>
      </c>
      <c r="V73" s="431" t="s">
        <v>364</v>
      </c>
      <c r="W73" s="488" t="str">
        <f>"0x"&amp;DEC2HEX(J71)</f>
        <v>0x1</v>
      </c>
      <c r="X73" s="548"/>
      <c r="Z73" s="404" t="s">
        <v>576</v>
      </c>
    </row>
    <row r="74" spans="1:51" ht="99" hidden="1">
      <c r="A74" s="414" t="s">
        <v>299</v>
      </c>
      <c r="B74" s="415" t="s">
        <v>300</v>
      </c>
      <c r="C74" s="415">
        <v>0</v>
      </c>
      <c r="D74" s="426">
        <f>C12</f>
        <v>0</v>
      </c>
      <c r="E74" s="443" t="s">
        <v>122</v>
      </c>
      <c r="G74" s="1255" t="s">
        <v>577</v>
      </c>
      <c r="H74" s="1256"/>
      <c r="I74" s="1256"/>
      <c r="J74" s="1256"/>
      <c r="K74" s="1257"/>
      <c r="M74" s="420" t="s">
        <v>234</v>
      </c>
      <c r="N74" s="421" t="s">
        <v>235</v>
      </c>
      <c r="O74" s="421" t="s">
        <v>229</v>
      </c>
      <c r="P74" s="528">
        <v>8</v>
      </c>
      <c r="Q74" s="469" t="s">
        <v>201</v>
      </c>
      <c r="S74" s="546" t="s">
        <v>578</v>
      </c>
      <c r="T74" s="487" t="s">
        <v>579</v>
      </c>
      <c r="U74" s="431" t="s">
        <v>580</v>
      </c>
      <c r="V74" s="431" t="s">
        <v>581</v>
      </c>
      <c r="W74" s="549" t="str">
        <f>"0x"&amp;DEC2HEX(ROUNDUP((P51/P46*P48),0))</f>
        <v>0xE6</v>
      </c>
      <c r="X74" s="489" t="s">
        <v>582</v>
      </c>
      <c r="Z74" s="404" t="s">
        <v>583</v>
      </c>
    </row>
    <row r="75" spans="1:51" s="200" customFormat="1" ht="33" hidden="1">
      <c r="A75" s="422" t="s">
        <v>293</v>
      </c>
      <c r="B75" s="423" t="s">
        <v>306</v>
      </c>
      <c r="C75" s="423">
        <f>VLOOKUP($C$41,$S$41:$AX$56,29,FALSE)</f>
        <v>90</v>
      </c>
      <c r="D75" s="427">
        <f>C13</f>
        <v>120</v>
      </c>
      <c r="E75" s="513" t="s">
        <v>125</v>
      </c>
      <c r="F75" s="404"/>
      <c r="G75" s="420" t="s">
        <v>584</v>
      </c>
      <c r="H75" s="421" t="s">
        <v>585</v>
      </c>
      <c r="I75" s="476" t="s">
        <v>586</v>
      </c>
      <c r="J75" s="529" t="str">
        <f>IF(D51="Standard","null",ROUNDUP(J55+J56+J58+P57+P54*J45/1000,0))</f>
        <v>null</v>
      </c>
      <c r="K75" s="469" t="s">
        <v>117</v>
      </c>
      <c r="L75" s="404"/>
      <c r="M75" s="420" t="s">
        <v>239</v>
      </c>
      <c r="N75" s="421" t="s">
        <v>240</v>
      </c>
      <c r="O75" s="421" t="s">
        <v>241</v>
      </c>
      <c r="P75" s="528">
        <v>4</v>
      </c>
      <c r="Q75" s="469" t="s">
        <v>201</v>
      </c>
      <c r="R75" s="404"/>
      <c r="S75" s="546" t="s">
        <v>317</v>
      </c>
      <c r="T75" s="431" t="str">
        <f>IF(OR(C42="A7",C42="KU3P"),"0x01100000","0x77601500")</f>
        <v>0x01100000</v>
      </c>
      <c r="U75" s="542" t="s">
        <v>318</v>
      </c>
      <c r="V75" s="431" t="s">
        <v>122</v>
      </c>
      <c r="W75" s="488" t="s">
        <v>319</v>
      </c>
      <c r="X75" s="543"/>
      <c r="Y75" s="404"/>
      <c r="Z75" s="404"/>
      <c r="AA75" s="404"/>
      <c r="AB75" s="404"/>
      <c r="AC75" s="404"/>
      <c r="AD75" s="404"/>
      <c r="AE75" s="404"/>
      <c r="AF75" s="404"/>
      <c r="AG75" s="404"/>
      <c r="AH75" s="404"/>
      <c r="AI75" s="404"/>
      <c r="AJ75" s="404"/>
      <c r="AK75" s="404"/>
      <c r="AL75" s="404"/>
      <c r="AM75" s="404"/>
      <c r="AN75" s="404"/>
      <c r="AO75" s="404"/>
      <c r="AP75" s="404"/>
      <c r="AQ75" s="404"/>
      <c r="AR75" s="404"/>
      <c r="AS75" s="404"/>
      <c r="AT75" s="404"/>
      <c r="AU75" s="404"/>
      <c r="AV75" s="404"/>
      <c r="AW75" s="404"/>
      <c r="AX75" s="404"/>
      <c r="AY75" s="404"/>
    </row>
    <row r="76" spans="1:51" s="200" customFormat="1" ht="49.5" hidden="1">
      <c r="A76" s="1242" t="s">
        <v>313</v>
      </c>
      <c r="B76" s="1243"/>
      <c r="C76" s="1243"/>
      <c r="D76" s="1243"/>
      <c r="E76" s="1244"/>
      <c r="F76" s="404"/>
      <c r="G76" s="514" t="s">
        <v>587</v>
      </c>
      <c r="H76" s="515" t="s">
        <v>588</v>
      </c>
      <c r="I76" s="515" t="s">
        <v>589</v>
      </c>
      <c r="J76" s="531">
        <f>J55+ROUNDUP(P57*1000/J45,0)+P54+IF(D67=0,0,P66)+IF(D67=1,0,J56)</f>
        <v>2802</v>
      </c>
      <c r="K76" s="532" t="s">
        <v>140</v>
      </c>
      <c r="L76" s="404"/>
      <c r="M76" s="420" t="s">
        <v>246</v>
      </c>
      <c r="N76" s="421" t="s">
        <v>247</v>
      </c>
      <c r="O76" s="421" t="s">
        <v>248</v>
      </c>
      <c r="P76" s="528">
        <v>12</v>
      </c>
      <c r="Q76" s="469" t="s">
        <v>201</v>
      </c>
      <c r="R76" s="404"/>
      <c r="S76" s="550" t="s">
        <v>325</v>
      </c>
      <c r="T76" s="431" t="str">
        <f>IF(OR(C42="A7",C42="KU3P"),"0x01100010","0x7760147C")</f>
        <v>0x01100010</v>
      </c>
      <c r="U76" s="551" t="s">
        <v>326</v>
      </c>
      <c r="V76" s="423" t="s">
        <v>590</v>
      </c>
      <c r="W76" s="488" t="str">
        <f>"0x"&amp;DEC2HEX(ROUNDUP(J45*P47/1000,0)-D62/VLOOKUP($C$41,$S$41:$AU$56,8,FALSE))</f>
        <v>0x68</v>
      </c>
      <c r="X76" s="543"/>
      <c r="Y76" s="404"/>
      <c r="Z76" s="404"/>
      <c r="AA76" s="404"/>
      <c r="AB76" s="404"/>
      <c r="AC76" s="404"/>
      <c r="AD76" s="404"/>
      <c r="AE76" s="404"/>
      <c r="AF76" s="404"/>
      <c r="AG76" s="404"/>
      <c r="AH76" s="404"/>
      <c r="AI76" s="404"/>
      <c r="AJ76" s="404"/>
      <c r="AK76" s="404"/>
      <c r="AL76" s="404"/>
      <c r="AM76" s="404"/>
      <c r="AN76" s="404"/>
      <c r="AO76" s="404"/>
      <c r="AP76" s="404"/>
      <c r="AQ76" s="404"/>
      <c r="AR76" s="404"/>
      <c r="AS76" s="404"/>
      <c r="AT76" s="404"/>
      <c r="AU76" s="404"/>
      <c r="AV76" s="404"/>
      <c r="AW76" s="404"/>
      <c r="AX76" s="404"/>
      <c r="AY76" s="404"/>
    </row>
    <row r="77" spans="1:51" s="200" customFormat="1" ht="66" hidden="1">
      <c r="A77" s="414" t="s">
        <v>320</v>
      </c>
      <c r="B77" s="415" t="s">
        <v>321</v>
      </c>
      <c r="C77" s="415">
        <v>1</v>
      </c>
      <c r="D77" s="429">
        <f>C7</f>
        <v>1</v>
      </c>
      <c r="E77" s="443" t="s">
        <v>122</v>
      </c>
      <c r="F77" s="404"/>
      <c r="G77" s="404"/>
      <c r="H77" s="404"/>
      <c r="I77" s="404"/>
      <c r="J77" s="404"/>
      <c r="K77" s="404"/>
      <c r="L77" s="404"/>
      <c r="M77" s="420" t="s">
        <v>252</v>
      </c>
      <c r="N77" s="431" t="s">
        <v>253</v>
      </c>
      <c r="O77" s="421" t="s">
        <v>254</v>
      </c>
      <c r="P77" s="528">
        <f>P72+P73+P74</f>
        <v>36</v>
      </c>
      <c r="Q77" s="469" t="s">
        <v>201</v>
      </c>
      <c r="R77" s="404"/>
      <c r="S77" s="546" t="s">
        <v>333</v>
      </c>
      <c r="T77" s="431" t="s">
        <v>335</v>
      </c>
      <c r="U77" s="431" t="s">
        <v>334</v>
      </c>
      <c r="V77" s="431" t="s">
        <v>336</v>
      </c>
      <c r="W77" s="488" t="str">
        <f>"0x"&amp;DEC2HEX(D70-P77)</f>
        <v>0x1FC0</v>
      </c>
      <c r="X77" s="552" t="s">
        <v>337</v>
      </c>
      <c r="Y77" s="404"/>
      <c r="Z77" s="404"/>
      <c r="AA77" s="404"/>
      <c r="AB77" s="404"/>
      <c r="AC77" s="404"/>
      <c r="AD77" s="404"/>
      <c r="AE77" s="404"/>
      <c r="AF77" s="404"/>
      <c r="AG77" s="404"/>
      <c r="AH77" s="404"/>
      <c r="AI77" s="404"/>
      <c r="AJ77" s="404"/>
      <c r="AK77" s="404"/>
      <c r="AL77" s="404"/>
      <c r="AM77" s="404"/>
      <c r="AN77" s="404"/>
      <c r="AO77" s="404"/>
      <c r="AP77" s="404"/>
      <c r="AQ77" s="404"/>
      <c r="AR77" s="404"/>
      <c r="AS77" s="404"/>
      <c r="AT77" s="404"/>
      <c r="AU77" s="404"/>
      <c r="AV77" s="404"/>
      <c r="AW77" s="404"/>
      <c r="AX77" s="404"/>
      <c r="AY77" s="404"/>
    </row>
    <row r="78" spans="1:51" s="200" customFormat="1" hidden="1">
      <c r="A78" s="422" t="s">
        <v>328</v>
      </c>
      <c r="B78" s="423" t="s">
        <v>329</v>
      </c>
      <c r="C78" s="423">
        <v>1</v>
      </c>
      <c r="D78" s="516">
        <f>C8</f>
        <v>1</v>
      </c>
      <c r="E78" s="513" t="s">
        <v>122</v>
      </c>
      <c r="F78" s="404"/>
      <c r="G78" s="404"/>
      <c r="H78" s="404"/>
      <c r="I78" s="404"/>
      <c r="J78" s="404"/>
      <c r="K78" s="404"/>
      <c r="L78" s="404"/>
      <c r="M78" s="420" t="s">
        <v>260</v>
      </c>
      <c r="N78" s="431" t="s">
        <v>261</v>
      </c>
      <c r="O78" s="421" t="s">
        <v>262</v>
      </c>
      <c r="P78" s="528">
        <f>P69+P70+P71+P75</f>
        <v>26</v>
      </c>
      <c r="Q78" s="469" t="s">
        <v>201</v>
      </c>
      <c r="R78" s="404"/>
      <c r="S78" s="546" t="s">
        <v>342</v>
      </c>
      <c r="T78" s="431" t="s">
        <v>344</v>
      </c>
      <c r="U78" s="431" t="s">
        <v>343</v>
      </c>
      <c r="V78" s="431" t="s">
        <v>345</v>
      </c>
      <c r="W78" s="488" t="str">
        <f>"0x"&amp;DEC2HEX(J65)</f>
        <v>0x0</v>
      </c>
      <c r="X78" s="1259" t="s">
        <v>346</v>
      </c>
      <c r="Y78" s="404"/>
      <c r="Z78" s="404"/>
      <c r="AA78" s="404"/>
      <c r="AB78" s="404"/>
      <c r="AC78" s="404"/>
      <c r="AD78" s="404"/>
      <c r="AE78" s="404"/>
      <c r="AF78" s="404"/>
      <c r="AG78" s="404"/>
      <c r="AH78" s="404"/>
      <c r="AI78" s="404"/>
      <c r="AJ78" s="404"/>
      <c r="AK78" s="404"/>
      <c r="AL78" s="404"/>
      <c r="AM78" s="404"/>
      <c r="AN78" s="404"/>
      <c r="AO78" s="404"/>
      <c r="AP78" s="404"/>
      <c r="AQ78" s="404"/>
      <c r="AR78" s="404"/>
      <c r="AS78" s="404"/>
      <c r="AT78" s="404"/>
      <c r="AU78" s="404"/>
      <c r="AV78" s="404"/>
      <c r="AW78" s="404"/>
      <c r="AX78" s="404"/>
      <c r="AY78" s="404"/>
    </row>
    <row r="79" spans="1:51" s="200" customFormat="1" hidden="1">
      <c r="A79" s="1242" t="s">
        <v>338</v>
      </c>
      <c r="B79" s="1243"/>
      <c r="C79" s="1243"/>
      <c r="D79" s="1243"/>
      <c r="E79" s="1244"/>
      <c r="F79" s="404"/>
      <c r="G79" s="404"/>
      <c r="H79" s="404"/>
      <c r="I79" s="404"/>
      <c r="J79" s="404"/>
      <c r="K79" s="404"/>
      <c r="L79" s="404"/>
      <c r="M79" s="422" t="s">
        <v>271</v>
      </c>
      <c r="N79" s="423" t="s">
        <v>272</v>
      </c>
      <c r="O79" s="423" t="s">
        <v>273</v>
      </c>
      <c r="P79" s="470">
        <f>64-P71-P75-P77</f>
        <v>10</v>
      </c>
      <c r="Q79" s="472" t="s">
        <v>201</v>
      </c>
      <c r="R79" s="404"/>
      <c r="S79" s="553" t="s">
        <v>352</v>
      </c>
      <c r="T79" s="435" t="s">
        <v>354</v>
      </c>
      <c r="U79" s="435" t="s">
        <v>353</v>
      </c>
      <c r="V79" s="435" t="s">
        <v>355</v>
      </c>
      <c r="W79" s="554" t="str">
        <f>"0x"&amp;DEC2HEX(J64)</f>
        <v>0x0</v>
      </c>
      <c r="X79" s="1260"/>
      <c r="Y79" s="404"/>
      <c r="Z79" s="404"/>
      <c r="AA79" s="404"/>
      <c r="AB79" s="404"/>
      <c r="AC79" s="404"/>
      <c r="AD79" s="404"/>
      <c r="AE79" s="404"/>
      <c r="AF79" s="404"/>
      <c r="AG79" s="404"/>
      <c r="AH79" s="404"/>
      <c r="AI79" s="404"/>
      <c r="AJ79" s="404"/>
      <c r="AK79" s="404"/>
      <c r="AL79" s="404"/>
      <c r="AM79" s="404"/>
      <c r="AN79" s="404"/>
      <c r="AO79" s="404"/>
      <c r="AP79" s="404"/>
      <c r="AQ79" s="404"/>
      <c r="AR79" s="404"/>
      <c r="AS79" s="404"/>
      <c r="AT79" s="404"/>
      <c r="AU79" s="404"/>
      <c r="AV79" s="404"/>
      <c r="AW79" s="404"/>
      <c r="AX79" s="404"/>
      <c r="AY79" s="404"/>
    </row>
    <row r="80" spans="1:51" hidden="1">
      <c r="A80" s="414" t="s">
        <v>347</v>
      </c>
      <c r="B80" s="415" t="s">
        <v>348</v>
      </c>
      <c r="C80" s="415">
        <v>1</v>
      </c>
      <c r="D80" s="433">
        <f>C6</f>
        <v>1</v>
      </c>
      <c r="E80" s="443" t="s">
        <v>122</v>
      </c>
      <c r="M80" s="1242" t="s">
        <v>280</v>
      </c>
      <c r="N80" s="1243"/>
      <c r="O80" s="1243"/>
      <c r="P80" s="1243"/>
      <c r="Q80" s="1244"/>
      <c r="S80" s="1263" t="s">
        <v>591</v>
      </c>
      <c r="T80" s="1264"/>
      <c r="U80" s="1264"/>
      <c r="V80" s="1264"/>
      <c r="W80" s="1264"/>
      <c r="X80" s="1265"/>
    </row>
    <row r="81" spans="1:51" ht="66" hidden="1">
      <c r="A81" s="422" t="s">
        <v>356</v>
      </c>
      <c r="B81" s="423" t="s">
        <v>357</v>
      </c>
      <c r="C81" s="423">
        <v>1</v>
      </c>
      <c r="D81" s="437">
        <v>1</v>
      </c>
      <c r="E81" s="513" t="s">
        <v>122</v>
      </c>
      <c r="M81" s="409" t="s">
        <v>91</v>
      </c>
      <c r="N81" s="410" t="s">
        <v>92</v>
      </c>
      <c r="O81" s="410" t="s">
        <v>93</v>
      </c>
      <c r="P81" s="410" t="s">
        <v>96</v>
      </c>
      <c r="Q81" s="544" t="s">
        <v>95</v>
      </c>
      <c r="S81" s="555" t="s">
        <v>592</v>
      </c>
      <c r="T81" s="556" t="s">
        <v>593</v>
      </c>
      <c r="U81" s="556" t="s">
        <v>594</v>
      </c>
      <c r="V81" s="557" t="s">
        <v>595</v>
      </c>
      <c r="W81" s="558" t="str">
        <f>IF(D51="Ultra short","0x"&amp;DEC2HEX(ROUNDDOWN(J54/P51,0)),"-")</f>
        <v>-</v>
      </c>
      <c r="X81" s="1261" t="s">
        <v>596</v>
      </c>
    </row>
    <row r="82" spans="1:51" ht="66" hidden="1">
      <c r="A82" s="1249" t="s">
        <v>365</v>
      </c>
      <c r="B82" s="1250"/>
      <c r="C82" s="1250"/>
      <c r="D82" s="1250"/>
      <c r="E82" s="1251"/>
      <c r="G82" s="517"/>
      <c r="H82" s="518"/>
      <c r="I82" s="490"/>
      <c r="J82" s="490"/>
      <c r="K82" s="490"/>
      <c r="M82" s="414" t="s">
        <v>288</v>
      </c>
      <c r="N82" s="439" t="s">
        <v>289</v>
      </c>
      <c r="O82" s="415" t="s">
        <v>290</v>
      </c>
      <c r="P82" s="527">
        <f>36</f>
        <v>36</v>
      </c>
      <c r="Q82" s="545" t="s">
        <v>201</v>
      </c>
      <c r="S82" s="559" t="s">
        <v>597</v>
      </c>
      <c r="T82" s="557" t="s">
        <v>598</v>
      </c>
      <c r="U82" s="557" t="s">
        <v>599</v>
      </c>
      <c r="V82" s="557" t="s">
        <v>595</v>
      </c>
      <c r="W82" s="549" t="str">
        <f>IF(D51="Ultra short","0x"&amp;DEC2HEX(MOD(J54,P51)),"-")</f>
        <v>-</v>
      </c>
      <c r="X82" s="1262"/>
    </row>
    <row r="83" spans="1:51" s="200" customFormat="1" ht="49.5" hidden="1">
      <c r="A83" s="519" t="s">
        <v>58</v>
      </c>
      <c r="B83" s="1252" t="s">
        <v>373</v>
      </c>
      <c r="C83" s="1252"/>
      <c r="D83" s="1253">
        <f>J47</f>
        <v>89.928057553956833</v>
      </c>
      <c r="E83" s="1254"/>
      <c r="F83" s="404"/>
      <c r="G83" s="404"/>
      <c r="H83" s="404"/>
      <c r="I83" s="404"/>
      <c r="J83" s="404"/>
      <c r="K83" s="404"/>
      <c r="L83" s="404"/>
      <c r="M83" s="420" t="s">
        <v>294</v>
      </c>
      <c r="N83" s="431" t="s">
        <v>295</v>
      </c>
      <c r="O83" s="421" t="s">
        <v>296</v>
      </c>
      <c r="P83" s="528">
        <v>10</v>
      </c>
      <c r="Q83" s="469" t="s">
        <v>201</v>
      </c>
      <c r="R83" s="404"/>
      <c r="S83" s="560" t="s">
        <v>600</v>
      </c>
      <c r="T83" s="561" t="s">
        <v>601</v>
      </c>
      <c r="U83" s="561" t="s">
        <v>602</v>
      </c>
      <c r="V83" s="561" t="s">
        <v>603</v>
      </c>
      <c r="W83" s="562" t="str">
        <f>"0x"&amp;DEC2HEX(P51)</f>
        <v>0xE6</v>
      </c>
      <c r="X83" s="563" t="s">
        <v>604</v>
      </c>
      <c r="Y83" s="404"/>
      <c r="Z83" s="404"/>
      <c r="AA83" s="404"/>
      <c r="AB83" s="404"/>
      <c r="AC83" s="404"/>
      <c r="AD83" s="404"/>
      <c r="AE83" s="404"/>
      <c r="AF83" s="404"/>
      <c r="AG83" s="404"/>
      <c r="AH83" s="404"/>
      <c r="AI83" s="404"/>
      <c r="AJ83" s="404"/>
      <c r="AK83" s="404"/>
      <c r="AL83" s="404"/>
      <c r="AM83" s="404"/>
      <c r="AN83" s="404"/>
      <c r="AO83" s="404"/>
      <c r="AP83" s="404"/>
      <c r="AQ83" s="404"/>
      <c r="AR83" s="404"/>
      <c r="AS83" s="404"/>
      <c r="AT83" s="404"/>
      <c r="AU83" s="404"/>
      <c r="AV83" s="404"/>
      <c r="AW83" s="404"/>
      <c r="AX83" s="404"/>
      <c r="AY83" s="404"/>
    </row>
    <row r="84" spans="1:51" s="200" customFormat="1" hidden="1">
      <c r="A84" s="404"/>
      <c r="B84" s="404"/>
      <c r="C84" s="404"/>
      <c r="D84" s="404"/>
      <c r="E84" s="404"/>
      <c r="F84" s="404"/>
      <c r="G84" s="404"/>
      <c r="H84" s="404"/>
      <c r="I84" s="404"/>
      <c r="J84" s="404"/>
      <c r="K84" s="404"/>
      <c r="L84" s="404"/>
      <c r="M84" s="533" t="s">
        <v>301</v>
      </c>
      <c r="N84" s="534" t="s">
        <v>302</v>
      </c>
      <c r="O84" s="534" t="s">
        <v>303</v>
      </c>
      <c r="P84" s="463">
        <v>60</v>
      </c>
      <c r="Q84" s="471" t="s">
        <v>201</v>
      </c>
      <c r="R84" s="404"/>
      <c r="S84" s="404"/>
      <c r="T84" s="404"/>
      <c r="U84" s="404"/>
      <c r="V84" s="404"/>
      <c r="W84" s="404"/>
      <c r="X84" s="404"/>
      <c r="Y84" s="404"/>
      <c r="Z84" s="404"/>
      <c r="AA84" s="404"/>
      <c r="AB84" s="404"/>
      <c r="AC84" s="404"/>
      <c r="AD84" s="404"/>
      <c r="AE84" s="404"/>
      <c r="AF84" s="404"/>
      <c r="AG84" s="404"/>
      <c r="AH84" s="404"/>
      <c r="AI84" s="404"/>
      <c r="AJ84" s="404"/>
      <c r="AK84" s="404"/>
      <c r="AL84" s="404"/>
      <c r="AM84" s="404"/>
      <c r="AN84" s="404"/>
      <c r="AO84" s="404"/>
      <c r="AP84" s="404"/>
      <c r="AQ84" s="404"/>
      <c r="AR84" s="404"/>
      <c r="AS84" s="404"/>
      <c r="AT84" s="404"/>
      <c r="AU84" s="404"/>
      <c r="AV84" s="404"/>
      <c r="AW84" s="404"/>
      <c r="AX84" s="404"/>
      <c r="AY84" s="404"/>
    </row>
    <row r="85" spans="1:51" s="200" customFormat="1" ht="30.95" customHeight="1">
      <c r="A85" s="404"/>
      <c r="B85" s="404"/>
      <c r="C85" s="404"/>
      <c r="D85" s="404"/>
      <c r="E85" s="404"/>
      <c r="F85" s="404"/>
      <c r="G85" s="404"/>
      <c r="H85" s="404"/>
      <c r="I85" s="404"/>
      <c r="J85" s="404"/>
      <c r="K85" s="404"/>
      <c r="L85" s="404"/>
      <c r="M85" s="442" t="s">
        <v>307</v>
      </c>
      <c r="N85" s="431" t="s">
        <v>308</v>
      </c>
      <c r="O85" s="431" t="s">
        <v>309</v>
      </c>
      <c r="P85" s="463">
        <f>D62*D63*IF(D46=8,1,2)</f>
        <v>12582912</v>
      </c>
      <c r="Q85" s="469" t="s">
        <v>201</v>
      </c>
      <c r="R85" s="404"/>
      <c r="S85" s="404"/>
      <c r="T85" s="404"/>
      <c r="U85" s="404"/>
      <c r="V85" s="404"/>
      <c r="W85" s="404"/>
      <c r="X85" s="404"/>
      <c r="Y85" s="404"/>
      <c r="Z85" s="404"/>
      <c r="AA85" s="404"/>
      <c r="AB85" s="404"/>
      <c r="AC85" s="404"/>
      <c r="AD85" s="404"/>
      <c r="AE85" s="404"/>
      <c r="AF85" s="404"/>
      <c r="AG85" s="404"/>
      <c r="AH85" s="404"/>
      <c r="AI85" s="404"/>
      <c r="AJ85" s="404"/>
      <c r="AK85" s="404"/>
      <c r="AL85" s="404"/>
      <c r="AM85" s="404"/>
      <c r="AN85" s="404"/>
      <c r="AO85" s="404"/>
      <c r="AP85" s="404"/>
      <c r="AQ85" s="404"/>
      <c r="AR85" s="404"/>
      <c r="AS85" s="404"/>
      <c r="AT85" s="404"/>
      <c r="AU85" s="404"/>
      <c r="AV85" s="404"/>
      <c r="AW85" s="404"/>
      <c r="AX85" s="404"/>
      <c r="AY85" s="404"/>
    </row>
    <row r="86" spans="1:51" s="200" customFormat="1">
      <c r="A86" s="404"/>
      <c r="B86" s="404"/>
      <c r="C86" s="404"/>
      <c r="D86" s="404"/>
      <c r="E86" s="404"/>
      <c r="F86" s="404"/>
      <c r="G86" s="404"/>
      <c r="H86" s="404"/>
      <c r="I86" s="404"/>
      <c r="J86" s="404"/>
      <c r="K86" s="404"/>
      <c r="L86" s="404"/>
      <c r="M86" s="420" t="s">
        <v>314</v>
      </c>
      <c r="N86" s="431" t="s">
        <v>315</v>
      </c>
      <c r="O86" s="431" t="s">
        <v>316</v>
      </c>
      <c r="P86" s="528">
        <f>P85+P84*D65</f>
        <v>12582912</v>
      </c>
      <c r="Q86" s="469" t="s">
        <v>201</v>
      </c>
      <c r="R86" s="404"/>
      <c r="S86" s="404"/>
      <c r="T86" s="404"/>
      <c r="U86" s="404"/>
      <c r="V86" s="404"/>
      <c r="W86" s="404"/>
      <c r="X86" s="404"/>
      <c r="Y86" s="404"/>
      <c r="Z86" s="404"/>
      <c r="AA86" s="404"/>
      <c r="AB86" s="404"/>
      <c r="AC86" s="404"/>
      <c r="AD86" s="404"/>
      <c r="AE86" s="404"/>
      <c r="AF86" s="404"/>
      <c r="AG86" s="404"/>
      <c r="AH86" s="404"/>
      <c r="AI86" s="404"/>
      <c r="AJ86" s="404"/>
      <c r="AK86" s="404"/>
      <c r="AL86" s="404"/>
      <c r="AM86" s="404"/>
      <c r="AN86" s="404"/>
      <c r="AO86" s="404"/>
      <c r="AP86" s="404"/>
      <c r="AQ86" s="404"/>
      <c r="AR86" s="404"/>
      <c r="AS86" s="404"/>
      <c r="AT86" s="404"/>
      <c r="AU86" s="404"/>
      <c r="AV86" s="404"/>
      <c r="AW86" s="404"/>
      <c r="AX86" s="404"/>
      <c r="AY86" s="404"/>
    </row>
    <row r="87" spans="1:51" s="200" customFormat="1">
      <c r="A87" s="404"/>
      <c r="B87" s="404"/>
      <c r="C87" s="404"/>
      <c r="D87" s="404"/>
      <c r="E87" s="404"/>
      <c r="F87" s="404"/>
      <c r="G87" s="404"/>
      <c r="H87" s="404"/>
      <c r="I87" s="404"/>
      <c r="J87" s="404"/>
      <c r="K87" s="404"/>
      <c r="L87" s="404"/>
      <c r="M87" s="420" t="s">
        <v>322</v>
      </c>
      <c r="N87" s="431" t="s">
        <v>323</v>
      </c>
      <c r="O87" s="421" t="s">
        <v>324</v>
      </c>
      <c r="P87" s="535">
        <f>INT(P86/(D70-P77))</f>
        <v>1548</v>
      </c>
      <c r="Q87" s="469" t="s">
        <v>421</v>
      </c>
      <c r="R87" s="404"/>
      <c r="S87" s="404"/>
      <c r="T87" s="404"/>
      <c r="U87" s="404"/>
      <c r="V87" s="404"/>
      <c r="W87" s="404"/>
      <c r="X87" s="404"/>
      <c r="Y87" s="404"/>
      <c r="Z87" s="404"/>
      <c r="AA87" s="404"/>
      <c r="AB87" s="404"/>
      <c r="AC87" s="404"/>
      <c r="AD87" s="404"/>
      <c r="AE87" s="404"/>
      <c r="AF87" s="404"/>
      <c r="AG87" s="404"/>
      <c r="AH87" s="404"/>
      <c r="AI87" s="404"/>
      <c r="AJ87" s="404"/>
      <c r="AK87" s="404"/>
      <c r="AL87" s="404"/>
      <c r="AM87" s="404"/>
      <c r="AN87" s="404"/>
      <c r="AO87" s="404"/>
      <c r="AP87" s="404"/>
      <c r="AQ87" s="404"/>
      <c r="AR87" s="404"/>
      <c r="AS87" s="404"/>
      <c r="AT87" s="404"/>
      <c r="AU87" s="404"/>
      <c r="AV87" s="404"/>
      <c r="AW87" s="404"/>
      <c r="AX87" s="404"/>
      <c r="AY87" s="404"/>
    </row>
    <row r="88" spans="1:51" s="200" customFormat="1">
      <c r="A88" s="404"/>
      <c r="B88" s="404"/>
      <c r="C88" s="404"/>
      <c r="D88" s="404"/>
      <c r="E88" s="404"/>
      <c r="F88" s="404"/>
      <c r="G88" s="404"/>
      <c r="H88" s="404"/>
      <c r="I88" s="404"/>
      <c r="J88" s="404"/>
      <c r="K88" s="404"/>
      <c r="L88" s="404"/>
      <c r="M88" s="420" t="s">
        <v>330</v>
      </c>
      <c r="N88" s="431" t="s">
        <v>331</v>
      </c>
      <c r="O88" s="421" t="s">
        <v>332</v>
      </c>
      <c r="P88" s="535">
        <f>P86-(D70-P77)*P87</f>
        <v>768</v>
      </c>
      <c r="Q88" s="469" t="s">
        <v>201</v>
      </c>
      <c r="R88" s="404"/>
      <c r="S88" s="404"/>
      <c r="T88" s="404"/>
      <c r="U88" s="404"/>
      <c r="V88" s="404"/>
      <c r="W88" s="404"/>
      <c r="X88" s="404"/>
      <c r="Y88" s="404"/>
      <c r="Z88" s="404"/>
      <c r="AA88" s="404"/>
      <c r="AB88" s="404"/>
      <c r="AC88" s="404"/>
      <c r="AD88" s="404"/>
      <c r="AE88" s="404"/>
      <c r="AF88" s="404"/>
      <c r="AG88" s="404"/>
      <c r="AH88" s="404"/>
      <c r="AI88" s="404"/>
      <c r="AJ88" s="404"/>
      <c r="AK88" s="404"/>
      <c r="AL88" s="404"/>
      <c r="AM88" s="404"/>
      <c r="AN88" s="404"/>
      <c r="AO88" s="404"/>
      <c r="AP88" s="404"/>
      <c r="AQ88" s="404"/>
      <c r="AR88" s="404"/>
      <c r="AS88" s="404"/>
      <c r="AT88" s="404"/>
      <c r="AU88" s="404"/>
      <c r="AV88" s="404"/>
      <c r="AW88" s="404"/>
      <c r="AX88" s="404"/>
      <c r="AY88" s="404"/>
    </row>
    <row r="89" spans="1:51" s="200" customFormat="1">
      <c r="A89" s="404"/>
      <c r="B89" s="404"/>
      <c r="C89" s="404"/>
      <c r="D89" s="404"/>
      <c r="E89" s="404"/>
      <c r="F89" s="404"/>
      <c r="G89" s="404"/>
      <c r="H89" s="404"/>
      <c r="I89" s="404"/>
      <c r="J89" s="404"/>
      <c r="K89" s="404"/>
      <c r="L89" s="404"/>
      <c r="M89" s="420" t="s">
        <v>339</v>
      </c>
      <c r="N89" s="431" t="s">
        <v>340</v>
      </c>
      <c r="O89" s="421" t="s">
        <v>341</v>
      </c>
      <c r="P89" s="528">
        <f>IF(MOD(P85,(D70-P77))=0,0,1)</f>
        <v>1</v>
      </c>
      <c r="Q89" s="469" t="s">
        <v>421</v>
      </c>
      <c r="R89" s="404"/>
      <c r="S89" s="404"/>
      <c r="T89" s="404"/>
      <c r="U89" s="404"/>
      <c r="V89" s="404"/>
      <c r="W89" s="404"/>
      <c r="X89" s="404"/>
      <c r="Y89" s="404"/>
      <c r="Z89" s="404"/>
      <c r="AA89" s="404"/>
      <c r="AB89" s="404"/>
      <c r="AC89" s="404"/>
      <c r="AD89" s="404"/>
      <c r="AE89" s="404"/>
      <c r="AF89" s="404"/>
      <c r="AG89" s="404"/>
      <c r="AH89" s="404"/>
      <c r="AI89" s="404"/>
      <c r="AJ89" s="404"/>
      <c r="AK89" s="404"/>
      <c r="AL89" s="404"/>
      <c r="AM89" s="404"/>
      <c r="AN89" s="404"/>
      <c r="AO89" s="404"/>
      <c r="AP89" s="404"/>
      <c r="AQ89" s="404"/>
      <c r="AR89" s="404"/>
      <c r="AS89" s="404"/>
      <c r="AT89" s="404"/>
      <c r="AU89" s="404"/>
      <c r="AV89" s="404"/>
      <c r="AW89" s="404"/>
      <c r="AX89" s="404"/>
      <c r="AY89" s="404"/>
    </row>
    <row r="90" spans="1:51" s="200" customFormat="1" ht="33">
      <c r="A90" s="404"/>
      <c r="B90" s="404"/>
      <c r="C90" s="404"/>
      <c r="D90" s="404"/>
      <c r="E90" s="404"/>
      <c r="F90" s="404"/>
      <c r="G90" s="404"/>
      <c r="H90" s="404"/>
      <c r="I90" s="404"/>
      <c r="J90" s="404"/>
      <c r="K90" s="404"/>
      <c r="L90" s="404"/>
      <c r="M90" s="420" t="s">
        <v>349</v>
      </c>
      <c r="N90" s="431" t="s">
        <v>350</v>
      </c>
      <c r="O90" s="421" t="s">
        <v>351</v>
      </c>
      <c r="P90" s="535">
        <f>IF(P88&lt;P79,P79,P88)</f>
        <v>768</v>
      </c>
      <c r="Q90" s="469" t="s">
        <v>201</v>
      </c>
      <c r="R90" s="404"/>
      <c r="S90" s="404"/>
      <c r="T90" s="404"/>
      <c r="U90" s="404"/>
      <c r="V90" s="404"/>
      <c r="W90" s="404"/>
      <c r="X90" s="404"/>
      <c r="Y90" s="404"/>
      <c r="Z90" s="404"/>
      <c r="AA90" s="404"/>
      <c r="AB90" s="404"/>
      <c r="AC90" s="404"/>
      <c r="AD90" s="404"/>
      <c r="AE90" s="404"/>
      <c r="AF90" s="404"/>
      <c r="AG90" s="404"/>
      <c r="AH90" s="404"/>
      <c r="AI90" s="404"/>
      <c r="AJ90" s="404"/>
      <c r="AK90" s="404"/>
      <c r="AL90" s="404"/>
      <c r="AM90" s="404"/>
      <c r="AN90" s="404"/>
      <c r="AO90" s="404"/>
      <c r="AP90" s="404"/>
      <c r="AQ90" s="404"/>
      <c r="AR90" s="404"/>
      <c r="AS90" s="404"/>
      <c r="AT90" s="404"/>
      <c r="AU90" s="404"/>
      <c r="AV90" s="404"/>
      <c r="AW90" s="404"/>
      <c r="AX90" s="404"/>
      <c r="AY90" s="404"/>
    </row>
    <row r="91" spans="1:51" s="200" customFormat="1">
      <c r="A91" s="404"/>
      <c r="B91" s="404"/>
      <c r="C91" s="404"/>
      <c r="D91" s="404"/>
      <c r="E91" s="404"/>
      <c r="F91" s="404"/>
      <c r="G91" s="404"/>
      <c r="H91" s="404"/>
      <c r="I91" s="408"/>
      <c r="J91" s="404"/>
      <c r="K91" s="404"/>
      <c r="L91" s="404"/>
      <c r="M91" s="420" t="s">
        <v>358</v>
      </c>
      <c r="N91" s="431" t="s">
        <v>359</v>
      </c>
      <c r="O91" s="421" t="s">
        <v>360</v>
      </c>
      <c r="P91" s="535">
        <f>P78+P77+P82</f>
        <v>98</v>
      </c>
      <c r="Q91" s="469" t="s">
        <v>201</v>
      </c>
      <c r="R91" s="404"/>
      <c r="S91" s="404"/>
      <c r="T91" s="404"/>
      <c r="U91" s="404"/>
      <c r="V91" s="404"/>
      <c r="W91" s="404"/>
      <c r="X91" s="404"/>
      <c r="Y91" s="404"/>
      <c r="Z91" s="404"/>
      <c r="AA91" s="404"/>
      <c r="AB91" s="404"/>
      <c r="AC91" s="404"/>
      <c r="AD91" s="404"/>
      <c r="AE91" s="404"/>
      <c r="AF91" s="404"/>
      <c r="AG91" s="404"/>
      <c r="AH91" s="404"/>
      <c r="AI91" s="404"/>
      <c r="AJ91" s="404"/>
      <c r="AK91" s="404"/>
      <c r="AL91" s="404"/>
      <c r="AM91" s="404"/>
      <c r="AN91" s="404"/>
      <c r="AO91" s="404"/>
      <c r="AP91" s="404"/>
      <c r="AQ91" s="404"/>
      <c r="AR91" s="404"/>
      <c r="AS91" s="404"/>
      <c r="AT91" s="404"/>
      <c r="AU91" s="404"/>
      <c r="AV91" s="404"/>
      <c r="AW91" s="404"/>
      <c r="AX91" s="404"/>
      <c r="AY91" s="404"/>
    </row>
    <row r="92" spans="1:51" s="200" customFormat="1">
      <c r="A92" s="404"/>
      <c r="B92" s="404"/>
      <c r="C92" s="404"/>
      <c r="D92" s="404"/>
      <c r="E92" s="404"/>
      <c r="F92" s="404"/>
      <c r="G92" s="404"/>
      <c r="H92" s="404"/>
      <c r="I92" s="404"/>
      <c r="J92" s="404"/>
      <c r="K92" s="404"/>
      <c r="L92" s="404"/>
      <c r="M92" s="420" t="s">
        <v>366</v>
      </c>
      <c r="N92" s="431" t="s">
        <v>367</v>
      </c>
      <c r="O92" s="421" t="s">
        <v>368</v>
      </c>
      <c r="P92" s="535">
        <f>P78+P77+P83</f>
        <v>72</v>
      </c>
      <c r="Q92" s="469" t="s">
        <v>201</v>
      </c>
      <c r="R92" s="404"/>
      <c r="S92" s="404"/>
      <c r="T92" s="404"/>
      <c r="U92" s="404"/>
      <c r="V92" s="404"/>
      <c r="W92" s="404"/>
      <c r="X92" s="404"/>
      <c r="Y92" s="404"/>
      <c r="Z92" s="404"/>
      <c r="AA92" s="404"/>
      <c r="AB92" s="404"/>
      <c r="AC92" s="404"/>
      <c r="AD92" s="404"/>
      <c r="AE92" s="404"/>
      <c r="AF92" s="404"/>
      <c r="AG92" s="404"/>
      <c r="AH92" s="404"/>
      <c r="AI92" s="404"/>
      <c r="AJ92" s="404"/>
      <c r="AK92" s="404"/>
      <c r="AL92" s="404"/>
      <c r="AM92" s="404"/>
      <c r="AN92" s="404"/>
      <c r="AO92" s="404"/>
      <c r="AP92" s="404"/>
      <c r="AQ92" s="404"/>
      <c r="AR92" s="404"/>
      <c r="AS92" s="404"/>
      <c r="AT92" s="404"/>
      <c r="AU92" s="404"/>
      <c r="AV92" s="404"/>
      <c r="AW92" s="404"/>
      <c r="AX92" s="404"/>
      <c r="AY92" s="404"/>
    </row>
    <row r="93" spans="1:51" s="200" customFormat="1" ht="33">
      <c r="A93" s="404"/>
      <c r="B93" s="404"/>
      <c r="C93" s="404"/>
      <c r="D93" s="404"/>
      <c r="E93" s="404"/>
      <c r="F93" s="404"/>
      <c r="G93" s="404"/>
      <c r="H93" s="404"/>
      <c r="I93" s="404"/>
      <c r="J93" s="404"/>
      <c r="K93" s="404"/>
      <c r="L93" s="404"/>
      <c r="M93" s="420" t="s">
        <v>374</v>
      </c>
      <c r="N93" s="431" t="s">
        <v>375</v>
      </c>
      <c r="O93" s="421" t="s">
        <v>376</v>
      </c>
      <c r="P93" s="535">
        <f>P87*(D70+P78)+P89*(P90+P78+P77)</f>
        <v>12678950</v>
      </c>
      <c r="Q93" s="469" t="s">
        <v>201</v>
      </c>
      <c r="R93" s="404"/>
      <c r="S93" s="404"/>
      <c r="T93" s="404"/>
      <c r="U93" s="404"/>
      <c r="V93" s="404"/>
      <c r="W93" s="404"/>
      <c r="X93" s="404"/>
      <c r="Y93" s="404"/>
      <c r="Z93" s="404"/>
      <c r="AA93" s="404"/>
      <c r="AB93" s="404"/>
      <c r="AC93" s="404"/>
      <c r="AD93" s="404"/>
      <c r="AE93" s="404"/>
      <c r="AF93" s="404"/>
      <c r="AG93" s="404"/>
      <c r="AH93" s="404"/>
      <c r="AI93" s="404"/>
      <c r="AJ93" s="404"/>
      <c r="AK93" s="404"/>
      <c r="AL93" s="404"/>
      <c r="AM93" s="404"/>
      <c r="AN93" s="404"/>
      <c r="AO93" s="404"/>
      <c r="AP93" s="404"/>
      <c r="AQ93" s="404"/>
      <c r="AR93" s="404"/>
      <c r="AS93" s="404"/>
      <c r="AT93" s="404"/>
      <c r="AU93" s="404"/>
      <c r="AV93" s="404"/>
      <c r="AW93" s="404"/>
      <c r="AX93" s="404"/>
      <c r="AY93" s="404"/>
    </row>
    <row r="94" spans="1:51" s="200" customFormat="1" ht="49.5">
      <c r="A94" s="404"/>
      <c r="B94" s="404"/>
      <c r="C94" s="404"/>
      <c r="D94" s="404"/>
      <c r="E94" s="404"/>
      <c r="F94" s="404"/>
      <c r="G94" s="404"/>
      <c r="H94" s="404"/>
      <c r="I94" s="404"/>
      <c r="J94" s="404"/>
      <c r="K94" s="404"/>
      <c r="L94" s="404"/>
      <c r="M94" s="442" t="s">
        <v>377</v>
      </c>
      <c r="N94" s="431" t="s">
        <v>378</v>
      </c>
      <c r="O94" s="431" t="s">
        <v>379</v>
      </c>
      <c r="P94" s="536">
        <f>(2+P89+P87)*P99</f>
        <v>31020</v>
      </c>
      <c r="Q94" s="471" t="s">
        <v>201</v>
      </c>
      <c r="R94" s="404"/>
      <c r="S94" s="404"/>
      <c r="T94" s="404"/>
      <c r="U94" s="404"/>
      <c r="V94" s="404"/>
      <c r="W94" s="404"/>
      <c r="X94" s="404"/>
      <c r="Y94" s="404"/>
      <c r="Z94" s="404"/>
      <c r="AA94" s="404"/>
      <c r="AB94" s="404"/>
      <c r="AC94" s="404"/>
      <c r="AD94" s="404"/>
      <c r="AE94" s="404"/>
      <c r="AF94" s="404"/>
      <c r="AG94" s="404"/>
      <c r="AH94" s="404"/>
      <c r="AI94" s="404"/>
      <c r="AJ94" s="404"/>
      <c r="AK94" s="404"/>
      <c r="AL94" s="404"/>
      <c r="AM94" s="404"/>
      <c r="AN94" s="404"/>
      <c r="AO94" s="404"/>
      <c r="AP94" s="404"/>
      <c r="AQ94" s="404"/>
      <c r="AR94" s="404"/>
      <c r="AS94" s="404"/>
      <c r="AT94" s="404"/>
      <c r="AU94" s="404"/>
      <c r="AV94" s="404"/>
      <c r="AW94" s="404"/>
      <c r="AX94" s="404"/>
      <c r="AY94" s="404"/>
    </row>
    <row r="95" spans="1:51" s="200" customFormat="1">
      <c r="A95" s="404"/>
      <c r="B95" s="404"/>
      <c r="C95" s="404"/>
      <c r="D95" s="404"/>
      <c r="E95" s="404"/>
      <c r="F95" s="404"/>
      <c r="G95" s="404"/>
      <c r="H95" s="404"/>
      <c r="I95" s="404"/>
      <c r="J95" s="404"/>
      <c r="K95" s="404"/>
      <c r="L95" s="404"/>
      <c r="M95" s="442" t="s">
        <v>380</v>
      </c>
      <c r="N95" s="431" t="s">
        <v>381</v>
      </c>
      <c r="O95" s="431" t="s">
        <v>382</v>
      </c>
      <c r="P95" s="463">
        <f>P91+P92+P93+P94</f>
        <v>12710140</v>
      </c>
      <c r="Q95" s="471" t="s">
        <v>201</v>
      </c>
      <c r="R95" s="404"/>
      <c r="S95" s="404"/>
      <c r="T95" s="404"/>
      <c r="U95" s="404"/>
      <c r="V95" s="404"/>
      <c r="W95" s="404"/>
      <c r="X95" s="404"/>
      <c r="Y95" s="404"/>
      <c r="Z95" s="404"/>
      <c r="AA95" s="404"/>
      <c r="AB95" s="404"/>
      <c r="AC95" s="404"/>
      <c r="AD95" s="404"/>
      <c r="AE95" s="404"/>
      <c r="AF95" s="404"/>
      <c r="AG95" s="404"/>
      <c r="AH95" s="404"/>
      <c r="AI95" s="404"/>
      <c r="AJ95" s="404"/>
      <c r="AK95" s="404"/>
      <c r="AL95" s="404"/>
      <c r="AM95" s="404"/>
      <c r="AN95" s="404"/>
      <c r="AO95" s="404"/>
      <c r="AP95" s="404"/>
      <c r="AQ95" s="404"/>
      <c r="AR95" s="404"/>
      <c r="AS95" s="404"/>
      <c r="AT95" s="404"/>
      <c r="AU95" s="404"/>
      <c r="AV95" s="404"/>
      <c r="AW95" s="404"/>
      <c r="AX95" s="404"/>
      <c r="AY95" s="404"/>
    </row>
    <row r="96" spans="1:51" s="200" customFormat="1">
      <c r="A96" s="404"/>
      <c r="B96" s="404"/>
      <c r="C96" s="404"/>
      <c r="D96" s="404"/>
      <c r="E96" s="404"/>
      <c r="F96" s="404"/>
      <c r="G96" s="404"/>
      <c r="H96" s="404"/>
      <c r="I96" s="404"/>
      <c r="J96" s="404"/>
      <c r="K96" s="404"/>
      <c r="L96" s="404"/>
      <c r="M96" s="442" t="s">
        <v>383</v>
      </c>
      <c r="N96" s="431" t="s">
        <v>384</v>
      </c>
      <c r="O96" s="431" t="s">
        <v>385</v>
      </c>
      <c r="P96" s="463">
        <f>INT(1000000*D69*(100-D72)/80)</f>
        <v>12250000000</v>
      </c>
      <c r="Q96" s="471" t="s">
        <v>386</v>
      </c>
      <c r="R96" s="404"/>
      <c r="S96" s="404"/>
      <c r="T96" s="404"/>
      <c r="U96" s="404"/>
      <c r="V96" s="404"/>
      <c r="W96" s="404"/>
      <c r="X96" s="404"/>
      <c r="Y96" s="404"/>
      <c r="Z96" s="404"/>
      <c r="AA96" s="404"/>
      <c r="AB96" s="404"/>
      <c r="AC96" s="404"/>
      <c r="AD96" s="404"/>
      <c r="AE96" s="404"/>
      <c r="AF96" s="404"/>
      <c r="AG96" s="404"/>
      <c r="AH96" s="404"/>
      <c r="AI96" s="404"/>
      <c r="AJ96" s="404"/>
      <c r="AK96" s="404"/>
      <c r="AL96" s="404"/>
      <c r="AM96" s="404"/>
      <c r="AN96" s="404"/>
      <c r="AO96" s="404"/>
      <c r="AP96" s="404"/>
      <c r="AQ96" s="404"/>
      <c r="AR96" s="404"/>
      <c r="AS96" s="404"/>
      <c r="AT96" s="404"/>
      <c r="AU96" s="404"/>
      <c r="AV96" s="404"/>
      <c r="AW96" s="404"/>
      <c r="AX96" s="404"/>
      <c r="AY96" s="404"/>
    </row>
    <row r="97" spans="1:51" s="200" customFormat="1">
      <c r="A97" s="404"/>
      <c r="B97" s="404"/>
      <c r="C97" s="404"/>
      <c r="D97" s="404"/>
      <c r="E97" s="404"/>
      <c r="F97" s="404"/>
      <c r="G97" s="404"/>
      <c r="H97" s="404"/>
      <c r="I97" s="404"/>
      <c r="J97" s="404"/>
      <c r="K97" s="404"/>
      <c r="L97" s="404"/>
      <c r="M97" s="450" t="s">
        <v>387</v>
      </c>
      <c r="N97" s="434" t="s">
        <v>388</v>
      </c>
      <c r="O97" s="434" t="s">
        <v>389</v>
      </c>
      <c r="P97" s="478">
        <f>ROUNDUP(P95*1000000/P96,0)*10</f>
        <v>10380</v>
      </c>
      <c r="Q97" s="428" t="s">
        <v>117</v>
      </c>
      <c r="R97" s="404"/>
      <c r="S97" s="404"/>
      <c r="T97" s="404"/>
      <c r="U97" s="404"/>
      <c r="V97" s="404"/>
      <c r="W97" s="404"/>
      <c r="X97" s="404"/>
      <c r="Y97" s="404"/>
      <c r="Z97" s="404"/>
      <c r="AA97" s="404"/>
      <c r="AB97" s="404"/>
      <c r="AC97" s="404"/>
      <c r="AD97" s="404"/>
      <c r="AE97" s="404"/>
      <c r="AF97" s="404"/>
      <c r="AG97" s="404"/>
      <c r="AH97" s="404"/>
      <c r="AI97" s="404"/>
      <c r="AJ97" s="404"/>
      <c r="AK97" s="404"/>
      <c r="AL97" s="404"/>
      <c r="AM97" s="404"/>
      <c r="AN97" s="404"/>
      <c r="AO97" s="404"/>
      <c r="AP97" s="404"/>
      <c r="AQ97" s="404"/>
      <c r="AR97" s="404"/>
      <c r="AS97" s="404"/>
      <c r="AT97" s="404"/>
      <c r="AU97" s="404"/>
      <c r="AV97" s="404"/>
      <c r="AW97" s="404"/>
      <c r="AX97" s="404"/>
      <c r="AY97" s="404"/>
    </row>
    <row r="98" spans="1:51" s="200" customFormat="1">
      <c r="A98" s="404"/>
      <c r="B98" s="404"/>
      <c r="C98" s="404"/>
      <c r="D98" s="404"/>
      <c r="E98" s="404"/>
      <c r="F98" s="404"/>
      <c r="G98" s="404"/>
      <c r="H98" s="404"/>
      <c r="I98" s="404"/>
      <c r="J98" s="404"/>
      <c r="K98" s="404"/>
      <c r="L98" s="404"/>
      <c r="M98" s="1242" t="s">
        <v>390</v>
      </c>
      <c r="N98" s="1243"/>
      <c r="O98" s="1243"/>
      <c r="P98" s="1243"/>
      <c r="Q98" s="1244"/>
      <c r="R98" s="404"/>
      <c r="S98" s="404"/>
      <c r="T98" s="404"/>
      <c r="U98" s="404"/>
      <c r="V98" s="404"/>
      <c r="W98" s="404"/>
      <c r="X98" s="404"/>
      <c r="Y98" s="404"/>
      <c r="Z98" s="404"/>
      <c r="AA98" s="404"/>
      <c r="AB98" s="404"/>
      <c r="AC98" s="404"/>
      <c r="AD98" s="404"/>
      <c r="AE98" s="404"/>
      <c r="AF98" s="404"/>
      <c r="AG98" s="404"/>
      <c r="AH98" s="404"/>
      <c r="AI98" s="404"/>
      <c r="AJ98" s="404"/>
      <c r="AK98" s="404"/>
      <c r="AL98" s="404"/>
      <c r="AM98" s="404"/>
      <c r="AN98" s="404"/>
      <c r="AO98" s="404"/>
      <c r="AP98" s="404"/>
      <c r="AQ98" s="404"/>
      <c r="AR98" s="404"/>
      <c r="AS98" s="404"/>
      <c r="AT98" s="404"/>
      <c r="AU98" s="404"/>
      <c r="AV98" s="404"/>
      <c r="AW98" s="404"/>
      <c r="AX98" s="404"/>
      <c r="AY98" s="404"/>
    </row>
    <row r="99" spans="1:51" s="200" customFormat="1">
      <c r="A99" s="404"/>
      <c r="B99" s="404"/>
      <c r="C99" s="404"/>
      <c r="D99" s="404"/>
      <c r="E99" s="404"/>
      <c r="F99" s="404"/>
      <c r="G99" s="404"/>
      <c r="H99" s="404"/>
      <c r="I99" s="404"/>
      <c r="J99" s="404"/>
      <c r="K99" s="404"/>
      <c r="L99" s="404"/>
      <c r="M99" s="446" t="s">
        <v>391</v>
      </c>
      <c r="N99" s="537" t="s">
        <v>392</v>
      </c>
      <c r="O99" s="431" t="s">
        <v>393</v>
      </c>
      <c r="P99" s="463">
        <f>MAX(ROUNDUP(D71*D69/1000/8,0),P76+8)</f>
        <v>20</v>
      </c>
      <c r="Q99" s="471" t="s">
        <v>394</v>
      </c>
      <c r="R99" s="404"/>
      <c r="S99" s="404"/>
      <c r="T99" s="404"/>
      <c r="U99" s="404"/>
      <c r="V99" s="404"/>
      <c r="W99" s="404"/>
      <c r="X99" s="404"/>
      <c r="Y99" s="404"/>
      <c r="Z99" s="404"/>
      <c r="AA99" s="404"/>
      <c r="AB99" s="404"/>
      <c r="AC99" s="404"/>
      <c r="AD99" s="404"/>
      <c r="AE99" s="404"/>
      <c r="AF99" s="404"/>
      <c r="AG99" s="404"/>
      <c r="AH99" s="404"/>
      <c r="AI99" s="404"/>
      <c r="AJ99" s="404"/>
      <c r="AK99" s="404"/>
      <c r="AL99" s="404"/>
      <c r="AM99" s="404"/>
      <c r="AN99" s="404"/>
      <c r="AO99" s="404"/>
      <c r="AP99" s="404"/>
      <c r="AQ99" s="404"/>
      <c r="AR99" s="404"/>
      <c r="AS99" s="404"/>
      <c r="AT99" s="404"/>
      <c r="AU99" s="404"/>
      <c r="AV99" s="404"/>
      <c r="AW99" s="404"/>
      <c r="AX99" s="404"/>
      <c r="AY99" s="404"/>
    </row>
    <row r="100" spans="1:51" ht="49.5">
      <c r="M100" s="500" t="s">
        <v>395</v>
      </c>
      <c r="N100" s="501" t="s">
        <v>396</v>
      </c>
      <c r="O100" s="435" t="s">
        <v>397</v>
      </c>
      <c r="P100" s="522">
        <f>ROUNDDOWN((P96-(P93+P92+P91))/(P87+P89+2),0)</f>
        <v>7889955</v>
      </c>
      <c r="Q100" s="523" t="s">
        <v>394</v>
      </c>
    </row>
    <row r="122" spans="1:9">
      <c r="G122" s="520"/>
      <c r="H122" s="1258"/>
      <c r="I122" s="1258"/>
    </row>
    <row r="123" spans="1:9">
      <c r="F123" s="521"/>
      <c r="G123" s="520"/>
      <c r="H123" s="520"/>
      <c r="I123" s="520"/>
    </row>
    <row r="124" spans="1:9">
      <c r="A124" s="520"/>
      <c r="B124" s="520"/>
      <c r="C124" s="520"/>
      <c r="D124" s="520"/>
      <c r="F124" s="520"/>
      <c r="G124" s="520"/>
      <c r="H124" s="520"/>
      <c r="I124" s="520"/>
    </row>
    <row r="125" spans="1:9">
      <c r="A125" s="520"/>
      <c r="B125" s="520"/>
      <c r="C125" s="520"/>
      <c r="D125" s="520"/>
      <c r="F125" s="520"/>
      <c r="G125" s="520"/>
      <c r="H125" s="520"/>
      <c r="I125" s="520"/>
    </row>
    <row r="126" spans="1:9">
      <c r="A126" s="520"/>
      <c r="B126" s="520"/>
      <c r="C126" s="520"/>
      <c r="D126" s="520"/>
      <c r="F126" s="520"/>
      <c r="G126" s="520"/>
      <c r="H126" s="520"/>
      <c r="I126" s="520"/>
    </row>
    <row r="127" spans="1:9">
      <c r="A127" s="520"/>
      <c r="B127" s="520"/>
      <c r="C127" s="520"/>
      <c r="D127" s="520"/>
      <c r="E127" s="521"/>
      <c r="F127" s="520"/>
      <c r="G127" s="520"/>
      <c r="H127" s="1258"/>
      <c r="I127" s="1258"/>
    </row>
    <row r="128" spans="1:9">
      <c r="A128" s="520"/>
      <c r="B128" s="520"/>
      <c r="C128" s="520"/>
      <c r="D128" s="520"/>
      <c r="E128" s="520"/>
      <c r="F128" s="520"/>
      <c r="G128" s="520"/>
      <c r="H128" s="520"/>
      <c r="I128" s="520"/>
    </row>
    <row r="129" spans="1:9">
      <c r="A129" s="520"/>
      <c r="B129" s="520"/>
      <c r="C129" s="520"/>
      <c r="D129" s="520"/>
      <c r="E129" s="520"/>
      <c r="F129" s="520"/>
      <c r="G129" s="520"/>
      <c r="H129" s="520"/>
      <c r="I129" s="520"/>
    </row>
    <row r="130" spans="1:9">
      <c r="A130" s="520"/>
      <c r="B130" s="520"/>
      <c r="C130" s="520"/>
      <c r="D130" s="520"/>
      <c r="E130" s="520"/>
      <c r="F130" s="520"/>
      <c r="G130" s="520"/>
      <c r="H130" s="520"/>
      <c r="I130" s="520"/>
    </row>
    <row r="131" spans="1:9">
      <c r="A131" s="521"/>
      <c r="B131" s="521"/>
      <c r="C131" s="520"/>
      <c r="D131" s="520"/>
      <c r="E131" s="520"/>
      <c r="F131" s="520"/>
      <c r="G131" s="520"/>
      <c r="H131" s="520"/>
      <c r="I131" s="520"/>
    </row>
    <row r="132" spans="1:9">
      <c r="A132" s="520"/>
      <c r="B132" s="521"/>
      <c r="C132" s="520"/>
      <c r="D132" s="520"/>
      <c r="E132" s="520"/>
      <c r="F132" s="520"/>
      <c r="G132" s="520"/>
      <c r="H132" s="1258"/>
      <c r="I132" s="1258"/>
    </row>
    <row r="133" spans="1:9">
      <c r="A133" s="520"/>
      <c r="B133" s="521"/>
      <c r="C133" s="520"/>
      <c r="D133" s="520"/>
      <c r="E133" s="520"/>
      <c r="F133" s="520"/>
      <c r="G133" s="520"/>
      <c r="H133" s="520"/>
      <c r="I133" s="520"/>
    </row>
    <row r="134" spans="1:9">
      <c r="A134" s="520"/>
      <c r="B134" s="520"/>
      <c r="C134" s="520"/>
      <c r="D134" s="520"/>
      <c r="E134" s="520"/>
      <c r="F134" s="520"/>
      <c r="G134" s="520"/>
      <c r="H134" s="520"/>
      <c r="I134" s="520"/>
    </row>
    <row r="135" spans="1:9">
      <c r="A135" s="520"/>
      <c r="B135" s="520"/>
      <c r="C135" s="520"/>
      <c r="D135" s="520"/>
      <c r="E135" s="520"/>
      <c r="F135" s="520"/>
      <c r="G135" s="520"/>
      <c r="H135" s="520"/>
      <c r="I135" s="520"/>
    </row>
    <row r="136" spans="1:9">
      <c r="A136" s="520"/>
      <c r="B136" s="520"/>
      <c r="C136" s="520"/>
      <c r="D136" s="520"/>
      <c r="E136" s="520"/>
      <c r="F136" s="520"/>
      <c r="G136" s="520"/>
      <c r="H136" s="520"/>
      <c r="I136" s="520"/>
    </row>
    <row r="137" spans="1:9">
      <c r="A137" s="520"/>
      <c r="B137" s="520"/>
      <c r="C137" s="520"/>
      <c r="D137" s="520"/>
      <c r="E137" s="520"/>
      <c r="F137" s="520"/>
      <c r="G137" s="520"/>
      <c r="H137" s="520"/>
      <c r="I137" s="520"/>
    </row>
    <row r="138" spans="1:9">
      <c r="A138" s="520"/>
      <c r="B138" s="520"/>
      <c r="C138" s="520"/>
      <c r="D138" s="520"/>
      <c r="E138" s="520"/>
      <c r="F138" s="520"/>
      <c r="G138" s="520"/>
      <c r="H138" s="520"/>
      <c r="I138" s="520"/>
    </row>
    <row r="139" spans="1:9">
      <c r="A139" s="520"/>
      <c r="B139" s="520"/>
      <c r="C139" s="520"/>
      <c r="D139" s="520"/>
      <c r="E139" s="520"/>
      <c r="F139" s="520"/>
      <c r="G139" s="520"/>
      <c r="H139" s="520"/>
      <c r="I139" s="520"/>
    </row>
    <row r="140" spans="1:9">
      <c r="A140" s="520"/>
      <c r="B140" s="520"/>
      <c r="C140" s="520"/>
      <c r="D140" s="520"/>
      <c r="E140" s="520"/>
      <c r="F140" s="520"/>
      <c r="G140" s="520"/>
      <c r="H140" s="520"/>
      <c r="I140" s="520"/>
    </row>
    <row r="141" spans="1:9">
      <c r="A141" s="520"/>
      <c r="B141" s="520"/>
      <c r="C141" s="520"/>
      <c r="D141" s="520"/>
      <c r="E141" s="520"/>
      <c r="F141" s="520"/>
      <c r="G141" s="520"/>
      <c r="H141" s="520"/>
      <c r="I141" s="520"/>
    </row>
    <row r="142" spans="1:9">
      <c r="A142" s="520"/>
      <c r="B142" s="520"/>
      <c r="C142" s="520"/>
      <c r="D142" s="520"/>
      <c r="E142" s="520"/>
      <c r="F142" s="520"/>
      <c r="G142" s="520"/>
      <c r="H142" s="520"/>
      <c r="I142" s="520"/>
    </row>
    <row r="143" spans="1:9">
      <c r="A143" s="520"/>
      <c r="B143" s="520"/>
      <c r="C143" s="520"/>
      <c r="D143" s="520"/>
      <c r="E143" s="520"/>
      <c r="F143" s="520"/>
      <c r="G143" s="520"/>
      <c r="H143" s="520"/>
      <c r="I143" s="520"/>
    </row>
    <row r="144" spans="1:9">
      <c r="A144" s="520"/>
      <c r="B144" s="520"/>
      <c r="C144" s="520"/>
      <c r="D144" s="520"/>
      <c r="E144" s="520"/>
      <c r="F144" s="520"/>
      <c r="G144" s="520"/>
      <c r="H144" s="520"/>
      <c r="I144" s="520"/>
    </row>
    <row r="145" spans="1:9">
      <c r="A145" s="520"/>
      <c r="B145" s="520"/>
      <c r="C145" s="520"/>
      <c r="D145" s="520"/>
      <c r="E145" s="520"/>
      <c r="F145" s="520"/>
      <c r="G145" s="520"/>
      <c r="H145" s="520"/>
      <c r="I145" s="520"/>
    </row>
    <row r="146" spans="1:9">
      <c r="A146" s="520"/>
      <c r="B146" s="520"/>
      <c r="C146" s="520"/>
      <c r="D146" s="520"/>
      <c r="E146" s="520"/>
      <c r="F146" s="520"/>
      <c r="G146" s="520"/>
      <c r="H146" s="520"/>
      <c r="I146" s="520"/>
    </row>
    <row r="147" spans="1:9">
      <c r="A147" s="520"/>
      <c r="B147" s="520"/>
      <c r="C147" s="520"/>
      <c r="D147" s="520"/>
      <c r="E147" s="520"/>
      <c r="F147" s="520"/>
    </row>
    <row r="148" spans="1:9">
      <c r="A148" s="520"/>
      <c r="B148" s="520"/>
      <c r="C148" s="520"/>
      <c r="D148" s="520"/>
      <c r="E148" s="520"/>
    </row>
    <row r="149" spans="1:9">
      <c r="E149" s="520"/>
    </row>
    <row r="150" spans="1:9">
      <c r="E150" s="520"/>
    </row>
    <row r="151" spans="1:9">
      <c r="E151" s="520"/>
    </row>
  </sheetData>
  <sheetProtection algorithmName="SHA-512" hashValue="/jDz0vX0fkef/Nn9a22bqczc3qfbtPuN77Cr8s0EHkcgMSY1eO8jt2dfwgOwgqPjorBRYqDRe9uVIIQMbydMXA==" saltValue="oP+inzKOW0TCT1Be+bFi4g==" spinCount="100000" sheet="1" objects="1"/>
  <mergeCells count="39">
    <mergeCell ref="M98:Q98"/>
    <mergeCell ref="H122:I122"/>
    <mergeCell ref="H127:I127"/>
    <mergeCell ref="H132:I132"/>
    <mergeCell ref="X78:X79"/>
    <mergeCell ref="X81:X82"/>
    <mergeCell ref="M80:Q80"/>
    <mergeCell ref="S80:X80"/>
    <mergeCell ref="A82:E82"/>
    <mergeCell ref="B83:C83"/>
    <mergeCell ref="D83:E83"/>
    <mergeCell ref="G70:K70"/>
    <mergeCell ref="A73:E73"/>
    <mergeCell ref="G74:K74"/>
    <mergeCell ref="A76:E76"/>
    <mergeCell ref="A79:E79"/>
    <mergeCell ref="A64:E64"/>
    <mergeCell ref="A66:E66"/>
    <mergeCell ref="G66:K66"/>
    <mergeCell ref="M67:Q67"/>
    <mergeCell ref="A68:E68"/>
    <mergeCell ref="G68:K68"/>
    <mergeCell ref="A57:E57"/>
    <mergeCell ref="A59:E59"/>
    <mergeCell ref="G59:K59"/>
    <mergeCell ref="S62:X62"/>
    <mergeCell ref="G63:K63"/>
    <mergeCell ref="A45:E45"/>
    <mergeCell ref="A47:E47"/>
    <mergeCell ref="G48:K48"/>
    <mergeCell ref="G53:K53"/>
    <mergeCell ref="A54:E54"/>
    <mergeCell ref="AF41:AO41"/>
    <mergeCell ref="G42:K42"/>
    <mergeCell ref="M42:Q42"/>
    <mergeCell ref="S42:AY42"/>
    <mergeCell ref="A43:E43"/>
    <mergeCell ref="G43:K43"/>
    <mergeCell ref="M43:Q43"/>
  </mergeCells>
  <phoneticPr fontId="36" type="noConversion"/>
  <dataValidations count="37">
    <dataValidation type="custom" allowBlank="1" showInputMessage="1" showErrorMessage="1" error="输入参数值为1或者2" sqref="C8">
      <formula1>OR((C8=1),(C8=2))</formula1>
    </dataValidation>
    <dataValidation allowBlank="1" showErrorMessage="1" promptTitle="参数变化" prompt="该参数会根据当前生效的水平像素Binning、水平像素抽样变化" sqref="C2 C3"/>
    <dataValidation type="whole" allowBlank="1" showInputMessage="1" showErrorMessage="1" error="设置值范围为0~包间隔最大值" sqref="C16">
      <formula1>0</formula1>
      <formula2>C17</formula2>
    </dataValidation>
    <dataValidation allowBlank="1" showInputMessage="1" showErrorMessage="1" error="输入范围是64~1024，步长为2" sqref="A1 B1:C1"/>
    <dataValidation type="custom" allowBlank="1" showInputMessage="1" showErrorMessage="1" errorTitle="输入数值非法" error="输入范围是16~图像宽度最大值，步长为16" sqref="C4">
      <formula1>AND((C4&lt;=C2),(C4&gt;=16),(MOD(C4,4)=0))</formula1>
    </dataValidation>
    <dataValidation type="list" allowBlank="1" showInputMessage="1" showErrorMessage="1" sqref="D69">
      <formula1>"1000,10000"</formula1>
    </dataValidation>
    <dataValidation type="custom" allowBlank="1" showInputMessage="1" showErrorMessage="1" errorTitle="输入数值非法" error="输入范围是2~图像高度最大值，步长为2" sqref="C5">
      <formula1>AND((C5&lt;=C3),(C5&gt;=2),(MOD(C5,2)=0))</formula1>
    </dataValidation>
    <dataValidation type="list" allowBlank="1" showInputMessage="1" showErrorMessage="1" sqref="C41">
      <formula1>$S$41:$S$53</formula1>
    </dataValidation>
    <dataValidation type="custom" allowBlank="1" showInputMessage="1" showErrorMessage="1" error="输入参数值为1或者2，并且当水平像素抽样不为1时不能输入" sqref="C6">
      <formula1>AND(OR((C6=1),(C6=2)),C7=1)</formula1>
    </dataValidation>
    <dataValidation type="custom" allowBlank="1" showInputMessage="1" showErrorMessage="1" error="输入参数值为1或者2，并且当水平像素抽样不为1时不能输入" sqref="C7">
      <formula1>AND(OR((C7=1),(C7=2)),C6=1)</formula1>
    </dataValidation>
    <dataValidation type="list" allowBlank="1" showInputMessage="1" showErrorMessage="1" sqref="D77:D78">
      <formula1>"1,2"</formula1>
    </dataValidation>
    <dataValidation type="whole" allowBlank="1" showInputMessage="1" showErrorMessage="1" errorTitle="超出范围" error="曝光时间的范围是14us-1s" sqref="C9 D49">
      <formula1>4</formula1>
      <formula2>1000000</formula2>
    </dataValidation>
    <dataValidation type="custom" allowBlank="1" showInputMessage="1" showErrorMessage="1" error="请输入8或者12" sqref="C10">
      <formula1>OR((C10=8),(C10=12))</formula1>
    </dataValidation>
    <dataValidation type="custom" allowBlank="1" showInputMessage="1" showErrorMessage="1" error="请输入10000或者1000" sqref="C11">
      <formula1>OR((C11=10000),(C11=1000))</formula1>
    </dataValidation>
    <dataValidation type="list" allowBlank="1" showInputMessage="1" showErrorMessage="1" errorTitle="超出范围" error="请输入0或者1" sqref="C12 C20">
      <formula1>"0,1"</formula1>
    </dataValidation>
    <dataValidation type="custom" allowBlank="1" showInputMessage="1" showErrorMessage="1" error="设置值范围0.1~10000.0，精确到一位小数" sqref="C13">
      <formula1>AND(TRUNC(C13,1)=C13,(C13&gt;=0.1),(C13&lt;=10000))</formula1>
    </dataValidation>
    <dataValidation type="whole" allowBlank="1" showInputMessage="1" showErrorMessage="1" error="输入范围是[0,5000]，单位为us" sqref="C19">
      <formula1>0</formula1>
      <formula2>5000</formula2>
    </dataValidation>
    <dataValidation type="whole" allowBlank="1" showInputMessage="1" showErrorMessage="1" error="设置范围为0~预留带宽最大值" sqref="C14">
      <formula1>0</formula1>
      <formula2>C15</formula2>
    </dataValidation>
    <dataValidation type="custom" allowBlank="1" showInputMessage="1" showErrorMessage="1" error="输入范围是512~8192，步长为4" sqref="C18 C27">
      <formula1>AND((C18&lt;=8192),(C18&gt;=512),(MOD(C18,4)=0))</formula1>
    </dataValidation>
    <dataValidation type="list" allowBlank="1" showInputMessage="1" showErrorMessage="1" sqref="C42">
      <formula1>#REF!</formula1>
    </dataValidation>
    <dataValidation type="list" allowBlank="1" showInputMessage="1" showErrorMessage="1" sqref="D46">
      <formula1>"8,12"</formula1>
    </dataValidation>
    <dataValidation type="list" allowBlank="1" showInputMessage="1" showErrorMessage="1" errorTitle="超出范围" error="曝光时间的范围是14us-1s" sqref="D48">
      <formula1>"Timed,TriggerWidth"</formula1>
    </dataValidation>
    <dataValidation type="whole" allowBlank="1" showInputMessage="1" showErrorMessage="1" errorTitle="超出范围" error="曝光延迟的范围是0-5000us" sqref="D50">
      <formula1>0</formula1>
      <formula2>5000</formula2>
    </dataValidation>
    <dataValidation type="list" allowBlank="1" showInputMessage="1" showErrorMessage="1" errorTitle="超出范围" error="曝光时间的范围是63us-1s" sqref="D51">
      <formula1>"Standard,Ultra Short"</formula1>
    </dataValidation>
    <dataValidation type="list" allowBlank="1" showInputMessage="1" showErrorMessage="1" errorTitle="超出范围" error="0:关闭_x000a_1:打开" sqref="D74">
      <formula1>"0,1"</formula1>
    </dataValidation>
    <dataValidation type="whole" allowBlank="1" showInputMessage="1" showErrorMessage="1" errorTitle="输入数值非法" error="最小值4，最大值D12" sqref="D52">
      <formula1>0</formula1>
      <formula2>(D63*D81+#REF!+#REF!+#REF!)*J45/1000+1</formula2>
    </dataValidation>
    <dataValidation type="whole" allowBlank="1" showInputMessage="1" showErrorMessage="1" errorTitle="输入数值非法" error="最小值2，最大值1000000" sqref="D53">
      <formula1>0</formula1>
      <formula2>1000000</formula2>
    </dataValidation>
    <dataValidation type="whole" allowBlank="1" showInputMessage="1" showErrorMessage="1" errorTitle="超出范围" error="触发延时的范围是0-3000000us" sqref="D58">
      <formula1>0</formula1>
      <formula2>3000000</formula2>
    </dataValidation>
    <dataValidation type="whole" allowBlank="1" showInputMessage="1" showErrorMessage="1" errorTitle="输入数值非法" error="最小值4，最大值D12" sqref="D62">
      <formula1>4</formula1>
      <formula2>C62</formula2>
    </dataValidation>
    <dataValidation type="whole" allowBlank="1" showInputMessage="1" showErrorMessage="1" errorTitle="输入数值非法" error="最小值2，最大值D13" sqref="D63">
      <formula1>2</formula1>
      <formula2>C63</formula2>
    </dataValidation>
    <dataValidation type="list" allowBlank="1" showInputMessage="1" showErrorMessage="1" sqref="D65 D67 D55:D56">
      <formula1>"0,1"</formula1>
    </dataValidation>
    <dataValidation type="custom" allowBlank="1" showInputMessage="1" showErrorMessage="1" sqref="D70">
      <formula1>AND(MOD(D70,4)=0,D70&gt;=512,D70&lt;=16384)</formula1>
    </dataValidation>
    <dataValidation type="whole" allowBlank="1" showInputMessage="1" showErrorMessage="1" errorTitle="设置值超出范围" error="包间隔设置值超出范围" sqref="D71">
      <formula1>J82</formula1>
      <formula2>J67</formula2>
    </dataValidation>
    <dataValidation type="whole" allowBlank="1" showInputMessage="1" showErrorMessage="1" errorTitle="设置值超出范围" error="预留带宽设置值超出范围" sqref="D72">
      <formula1>0</formula1>
      <formula2>J69</formula2>
    </dataValidation>
    <dataValidation type="list" allowBlank="1" showInputMessage="1" showErrorMessage="1" sqref="D80:D81">
      <formula1>"1,2,4"</formula1>
    </dataValidation>
    <dataValidation type="decimal" allowBlank="1" showInputMessage="1" showErrorMessage="1" sqref="D75">
      <formula1>0.1</formula1>
      <formula2>10000</formula2>
    </dataValidation>
    <dataValidation type="whole" operator="lessThanOrEqual" allowBlank="1" showInputMessage="1" showErrorMessage="1" sqref="D60:D61">
      <formula1>C62</formula1>
    </dataValidation>
  </dataValidations>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D105"/>
  <sheetViews>
    <sheetView workbookViewId="0">
      <selection activeCell="C10" sqref="C10"/>
    </sheetView>
  </sheetViews>
  <sheetFormatPr defaultColWidth="9" defaultRowHeight="13.5"/>
  <cols>
    <col min="1" max="1" width="32.5" customWidth="1"/>
    <col min="2" max="2" width="20.875" customWidth="1"/>
    <col min="3" max="3" width="18.75" customWidth="1"/>
    <col min="20" max="20" width="55.875" customWidth="1"/>
    <col min="25" max="25" width="27.375" customWidth="1"/>
    <col min="27" max="27" width="33.625" customWidth="1"/>
  </cols>
  <sheetData>
    <row r="1" spans="1:2">
      <c r="A1" s="198" t="s">
        <v>605</v>
      </c>
      <c r="B1" s="199"/>
    </row>
    <row r="2" spans="1:2">
      <c r="A2" s="198" t="s">
        <v>17</v>
      </c>
      <c r="B2" s="198">
        <f>IF(B6=2,2656,5328)</f>
        <v>5328</v>
      </c>
    </row>
    <row r="3" spans="1:2">
      <c r="A3" s="198" t="s">
        <v>18</v>
      </c>
      <c r="B3" s="198">
        <v>3040</v>
      </c>
    </row>
    <row r="4" spans="1:2">
      <c r="A4" s="198" t="s">
        <v>19</v>
      </c>
      <c r="B4" s="199">
        <v>5328</v>
      </c>
    </row>
    <row r="5" spans="1:2">
      <c r="A5" s="198" t="s">
        <v>20</v>
      </c>
      <c r="B5" s="199">
        <v>3040</v>
      </c>
    </row>
    <row r="6" spans="1:2" ht="14.25" customHeight="1">
      <c r="A6" s="198" t="s">
        <v>21</v>
      </c>
      <c r="B6" s="199">
        <v>1</v>
      </c>
    </row>
    <row r="7" spans="1:2" ht="16.5" customHeight="1">
      <c r="A7" s="198" t="s">
        <v>23</v>
      </c>
      <c r="B7" s="199">
        <v>1</v>
      </c>
    </row>
    <row r="8" spans="1:2" ht="17.25" customHeight="1">
      <c r="A8" s="198" t="s">
        <v>24</v>
      </c>
      <c r="B8" s="199">
        <v>1</v>
      </c>
    </row>
    <row r="9" spans="1:2" ht="18" customHeight="1">
      <c r="A9" s="198" t="s">
        <v>25</v>
      </c>
      <c r="B9" s="199">
        <v>10000</v>
      </c>
    </row>
    <row r="10" spans="1:2" ht="15.75" customHeight="1">
      <c r="A10" s="198" t="s">
        <v>26</v>
      </c>
      <c r="B10" s="199">
        <v>8</v>
      </c>
    </row>
    <row r="11" spans="1:2">
      <c r="A11" s="198" t="s">
        <v>606</v>
      </c>
      <c r="B11" s="199" t="s">
        <v>607</v>
      </c>
    </row>
    <row r="12" spans="1:2">
      <c r="A12" s="198" t="s">
        <v>27</v>
      </c>
      <c r="B12" s="199">
        <v>10000</v>
      </c>
    </row>
    <row r="13" spans="1:2" ht="16.5" customHeight="1">
      <c r="A13" s="198" t="s">
        <v>28</v>
      </c>
      <c r="B13" s="199">
        <v>0</v>
      </c>
    </row>
    <row r="14" spans="1:2">
      <c r="A14" s="198" t="s">
        <v>29</v>
      </c>
      <c r="B14" s="199">
        <v>52</v>
      </c>
    </row>
    <row r="15" spans="1:2" ht="18.75" customHeight="1">
      <c r="A15" s="198" t="s">
        <v>30</v>
      </c>
      <c r="B15" s="199">
        <v>2</v>
      </c>
    </row>
    <row r="16" spans="1:2" ht="14.25" customHeight="1">
      <c r="A16" s="198" t="s">
        <v>31</v>
      </c>
      <c r="B16" s="198">
        <f>U52</f>
        <v>99</v>
      </c>
    </row>
    <row r="17" spans="1:56">
      <c r="A17" s="198" t="s">
        <v>32</v>
      </c>
      <c r="B17" s="199">
        <v>0</v>
      </c>
    </row>
    <row r="18" spans="1:56">
      <c r="A18" s="198" t="s">
        <v>33</v>
      </c>
      <c r="B18" s="198">
        <f>U50</f>
        <v>4905736</v>
      </c>
    </row>
    <row r="19" spans="1:56" ht="18" customHeight="1">
      <c r="A19" s="198" t="s">
        <v>34</v>
      </c>
      <c r="B19" s="199">
        <v>1500</v>
      </c>
    </row>
    <row r="20" spans="1:56">
      <c r="A20" s="198" t="s">
        <v>35</v>
      </c>
      <c r="B20" s="199">
        <v>0</v>
      </c>
    </row>
    <row r="21" spans="1:56">
      <c r="A21" s="198" t="s">
        <v>36</v>
      </c>
      <c r="B21" s="199">
        <v>0</v>
      </c>
    </row>
    <row r="22" spans="1:56">
      <c r="A22" s="198"/>
      <c r="B22" s="199"/>
    </row>
    <row r="23" spans="1:56">
      <c r="A23" s="198" t="s">
        <v>37</v>
      </c>
      <c r="B23" s="199">
        <f>U30</f>
        <v>52.015604681404419</v>
      </c>
    </row>
    <row r="24" spans="1:56" ht="14.25" hidden="1">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row>
    <row r="25" spans="1:56" ht="28.5" hidden="1">
      <c r="L25" s="201" t="s">
        <v>49</v>
      </c>
      <c r="M25" s="201" t="s">
        <v>50</v>
      </c>
      <c r="N25" s="202" t="s">
        <v>637</v>
      </c>
      <c r="O25" s="202" t="s">
        <v>609</v>
      </c>
      <c r="P25" s="203"/>
      <c r="Q25" s="203"/>
      <c r="R25" s="1202" t="s">
        <v>52</v>
      </c>
      <c r="S25" s="1203"/>
      <c r="T25" s="1203"/>
      <c r="U25" s="1203"/>
      <c r="V25" s="1204"/>
      <c r="W25" s="259"/>
      <c r="X25" s="1202" t="s">
        <v>53</v>
      </c>
      <c r="Y25" s="1203"/>
      <c r="Z25" s="1203"/>
      <c r="AA25" s="1203"/>
      <c r="AB25" s="1204"/>
      <c r="AC25" s="259"/>
      <c r="AD25" s="1205" t="s">
        <v>54</v>
      </c>
      <c r="AE25" s="1206"/>
      <c r="AF25" s="1206"/>
      <c r="AG25" s="1206"/>
      <c r="AH25" s="1206"/>
      <c r="AI25" s="1206"/>
      <c r="AJ25" s="1206"/>
      <c r="AK25" s="1206"/>
      <c r="AL25" s="1206"/>
      <c r="AM25" s="1206"/>
      <c r="AN25" s="1206"/>
      <c r="AO25" s="1206"/>
      <c r="AP25" s="1206"/>
      <c r="AQ25" s="1206"/>
      <c r="AR25" s="1206"/>
      <c r="AS25" s="1206"/>
      <c r="AT25" s="1206"/>
      <c r="AU25" s="1206"/>
      <c r="AV25" s="1206"/>
      <c r="AW25" s="1206"/>
      <c r="AX25" s="1206"/>
      <c r="AY25" s="1206"/>
      <c r="AZ25" s="1206"/>
      <c r="BA25" s="1206"/>
      <c r="BB25" s="1206"/>
      <c r="BC25" s="1206"/>
      <c r="BD25" s="1207"/>
    </row>
    <row r="26" spans="1:56" ht="42.75" hidden="1">
      <c r="L26" s="201" t="s">
        <v>55</v>
      </c>
      <c r="M26" s="201" t="s">
        <v>56</v>
      </c>
      <c r="N26" s="202" t="s">
        <v>100</v>
      </c>
      <c r="O26" s="202" t="str">
        <f>B11</f>
        <v>BPP8</v>
      </c>
      <c r="P26" s="203"/>
      <c r="Q26" s="203"/>
      <c r="R26" s="1208" t="s">
        <v>58</v>
      </c>
      <c r="S26" s="1209"/>
      <c r="T26" s="1209"/>
      <c r="U26" s="1209"/>
      <c r="V26" s="1210"/>
      <c r="W26" s="259"/>
      <c r="X26" s="1208" t="s">
        <v>59</v>
      </c>
      <c r="Y26" s="1209"/>
      <c r="Z26" s="1209"/>
      <c r="AA26" s="1209"/>
      <c r="AB26" s="1210"/>
      <c r="AC26" s="259"/>
      <c r="AD26" s="306" t="s">
        <v>60</v>
      </c>
      <c r="AE26" s="307" t="s">
        <v>61</v>
      </c>
      <c r="AF26" s="307" t="s">
        <v>610</v>
      </c>
      <c r="AG26" s="307" t="s">
        <v>611</v>
      </c>
      <c r="AH26" s="307" t="s">
        <v>64</v>
      </c>
      <c r="AI26" s="307" t="s">
        <v>65</v>
      </c>
      <c r="AJ26" s="307" t="s">
        <v>66</v>
      </c>
      <c r="AK26" s="307" t="s">
        <v>67</v>
      </c>
      <c r="AL26" s="307" t="s">
        <v>68</v>
      </c>
      <c r="AM26" s="307" t="s">
        <v>69</v>
      </c>
      <c r="AN26" s="307" t="s">
        <v>70</v>
      </c>
      <c r="AO26" s="307" t="s">
        <v>71</v>
      </c>
      <c r="AP26" s="307" t="s">
        <v>612</v>
      </c>
      <c r="AQ26" s="307" t="s">
        <v>613</v>
      </c>
      <c r="AR26" s="307" t="s">
        <v>614</v>
      </c>
      <c r="AS26" s="307" t="s">
        <v>615</v>
      </c>
      <c r="AT26" s="307" t="s">
        <v>616</v>
      </c>
      <c r="AU26" s="347" t="s">
        <v>617</v>
      </c>
      <c r="AV26" s="307" t="s">
        <v>618</v>
      </c>
      <c r="AW26" s="307" t="s">
        <v>619</v>
      </c>
      <c r="AX26" s="307" t="s">
        <v>620</v>
      </c>
      <c r="AY26" s="307" t="s">
        <v>621</v>
      </c>
      <c r="AZ26" s="358" t="s">
        <v>622</v>
      </c>
      <c r="BA26" s="307" t="s">
        <v>623</v>
      </c>
      <c r="BB26" s="307" t="s">
        <v>624</v>
      </c>
      <c r="BC26" s="359" t="s">
        <v>625</v>
      </c>
      <c r="BD26" s="360" t="s">
        <v>626</v>
      </c>
    </row>
    <row r="27" spans="1:56" ht="28.5" hidden="1">
      <c r="L27" s="1202" t="s">
        <v>90</v>
      </c>
      <c r="M27" s="1203"/>
      <c r="N27" s="1203"/>
      <c r="O27" s="1203"/>
      <c r="P27" s="1204"/>
      <c r="Q27" s="203"/>
      <c r="R27" s="260" t="s">
        <v>91</v>
      </c>
      <c r="S27" s="261" t="s">
        <v>92</v>
      </c>
      <c r="T27" s="261" t="s">
        <v>93</v>
      </c>
      <c r="U27" s="261" t="s">
        <v>94</v>
      </c>
      <c r="V27" s="262" t="s">
        <v>95</v>
      </c>
      <c r="W27" s="259"/>
      <c r="X27" s="204" t="s">
        <v>91</v>
      </c>
      <c r="Y27" s="205" t="s">
        <v>92</v>
      </c>
      <c r="Z27" s="205" t="s">
        <v>93</v>
      </c>
      <c r="AA27" s="205" t="s">
        <v>96</v>
      </c>
      <c r="AB27" s="308" t="s">
        <v>95</v>
      </c>
      <c r="AC27" s="259"/>
      <c r="AD27" s="309" t="s">
        <v>608</v>
      </c>
      <c r="AE27" s="310" t="s">
        <v>627</v>
      </c>
      <c r="AF27" s="310">
        <v>37125</v>
      </c>
      <c r="AG27" s="333">
        <v>120</v>
      </c>
      <c r="AH27" s="334">
        <v>1</v>
      </c>
      <c r="AI27" s="333">
        <v>16</v>
      </c>
      <c r="AJ27" s="334">
        <v>0</v>
      </c>
      <c r="AK27" s="334">
        <v>0</v>
      </c>
      <c r="AL27" s="310">
        <v>5328</v>
      </c>
      <c r="AM27" s="310">
        <v>8</v>
      </c>
      <c r="AN27" s="310">
        <v>5328</v>
      </c>
      <c r="AO27" s="310">
        <v>4608</v>
      </c>
      <c r="AP27" s="348">
        <f>IF((O61=1)*(O62=1),IF(O26="BPP8",326,IF(O26="BPP10",477,477)),IF(O26="BPP8",211,IF(O26="BPP10",220,304)))</f>
        <v>326</v>
      </c>
      <c r="AQ27" s="349">
        <v>118</v>
      </c>
      <c r="AR27" s="349">
        <v>34</v>
      </c>
      <c r="AS27" s="349">
        <v>2460</v>
      </c>
      <c r="AT27" s="348"/>
      <c r="AU27" s="350" t="s">
        <v>628</v>
      </c>
      <c r="AV27" s="333">
        <v>20000</v>
      </c>
      <c r="AW27" s="348">
        <v>5328</v>
      </c>
      <c r="AX27" s="348">
        <v>4608</v>
      </c>
      <c r="AY27" s="310">
        <v>35</v>
      </c>
      <c r="AZ27" s="361">
        <v>156.25</v>
      </c>
      <c r="BA27" s="310">
        <v>0</v>
      </c>
      <c r="BB27" s="310" t="s">
        <v>100</v>
      </c>
      <c r="BC27" s="362">
        <v>0</v>
      </c>
      <c r="BD27" s="363">
        <v>20</v>
      </c>
    </row>
    <row r="28" spans="1:56" ht="28.5" hidden="1">
      <c r="L28" s="204" t="s">
        <v>91</v>
      </c>
      <c r="M28" s="205" t="s">
        <v>92</v>
      </c>
      <c r="N28" s="205" t="s">
        <v>101</v>
      </c>
      <c r="O28" s="205" t="s">
        <v>102</v>
      </c>
      <c r="P28" s="206" t="s">
        <v>95</v>
      </c>
      <c r="Q28" s="203"/>
      <c r="R28" s="211" t="s">
        <v>103</v>
      </c>
      <c r="S28" s="212" t="s">
        <v>104</v>
      </c>
      <c r="T28" s="251" t="s">
        <v>629</v>
      </c>
      <c r="U28" s="263">
        <f>ROUNDUP(1000000*AA32/AA29,0)</f>
        <v>6038</v>
      </c>
      <c r="V28" s="211" t="s">
        <v>106</v>
      </c>
      <c r="W28" s="259"/>
      <c r="X28" s="211" t="s">
        <v>107</v>
      </c>
      <c r="Y28" s="212" t="s">
        <v>108</v>
      </c>
      <c r="Z28" s="212" t="s">
        <v>109</v>
      </c>
      <c r="AA28" s="311">
        <f>VLOOKUP($N$25,$AD$27:$BB$44,4,FALSE)</f>
        <v>120</v>
      </c>
      <c r="AB28" s="312" t="s">
        <v>110</v>
      </c>
      <c r="AC28" s="259"/>
      <c r="AD28" s="313" t="s">
        <v>637</v>
      </c>
      <c r="AE28" s="313" t="s">
        <v>638</v>
      </c>
      <c r="AF28" s="313">
        <v>54000</v>
      </c>
      <c r="AG28" s="313">
        <v>120</v>
      </c>
      <c r="AH28" s="313">
        <v>1</v>
      </c>
      <c r="AI28" s="313">
        <v>16</v>
      </c>
      <c r="AJ28" s="313">
        <v>0</v>
      </c>
      <c r="AK28" s="313">
        <v>0</v>
      </c>
      <c r="AL28" s="313">
        <v>5328</v>
      </c>
      <c r="AM28" s="313">
        <v>8</v>
      </c>
      <c r="AN28" s="313">
        <v>5328</v>
      </c>
      <c r="AO28" s="313">
        <v>3040</v>
      </c>
      <c r="AP28" s="351">
        <f>IF((O61=1)*(O62=1),IF(O26="BPP8",326,IF(O26="BPP10",477,477)),IF(O26="BPP8",211,IF(O26="BPP10",220,304)))</f>
        <v>326</v>
      </c>
      <c r="AQ28" s="352">
        <f>M100</f>
        <v>144</v>
      </c>
      <c r="AR28" s="352">
        <f>T100</f>
        <v>34</v>
      </c>
      <c r="AS28" s="353">
        <v>2460</v>
      </c>
      <c r="AT28" s="354"/>
      <c r="AU28" s="313" t="s">
        <v>628</v>
      </c>
      <c r="AV28" s="313">
        <v>10000</v>
      </c>
      <c r="AW28" s="313">
        <v>5328</v>
      </c>
      <c r="AX28" s="313">
        <v>3040</v>
      </c>
      <c r="AY28" s="313">
        <v>52</v>
      </c>
      <c r="AZ28" s="364">
        <v>156.25</v>
      </c>
      <c r="BA28" s="313">
        <v>0</v>
      </c>
      <c r="BB28" s="365" t="s">
        <v>100</v>
      </c>
      <c r="BC28" s="366">
        <v>0</v>
      </c>
      <c r="BD28" s="367">
        <v>20</v>
      </c>
    </row>
    <row r="29" spans="1:56" ht="408.95" hidden="1" customHeight="1">
      <c r="L29" s="1208" t="s">
        <v>113</v>
      </c>
      <c r="M29" s="1209"/>
      <c r="N29" s="1209"/>
      <c r="O29" s="1209"/>
      <c r="P29" s="1210"/>
      <c r="Q29" s="203"/>
      <c r="R29" s="264" t="s">
        <v>114</v>
      </c>
      <c r="S29" s="227" t="s">
        <v>115</v>
      </c>
      <c r="T29" s="220" t="s">
        <v>632</v>
      </c>
      <c r="U29" s="265">
        <f>IF(O33="Ultrashort",IF(O39=1,ROUNDUP(MAX(U32,U33,U34),0),ROUNDUP(MAX(U32,U33,U34,U35),0)),IF(O39=1,IF(O32="TriggerWidth",ROUNDUP(MAX(U32,U54,U34)*U28/1000,0),IF(O40=0,ROUNDUP(MAX(U32,U33,U34)*U28/1000,0),ROUNDUP(MAX(U32,U33,U34,U35)*U28/1000,0))),ROUNDUP(MAX(U32,U33,U34,U35)*U28/1000,0)))</f>
        <v>19225</v>
      </c>
      <c r="V29" s="264" t="s">
        <v>117</v>
      </c>
      <c r="W29" s="200"/>
      <c r="X29" s="264" t="s">
        <v>633</v>
      </c>
      <c r="Y29" s="227" t="s">
        <v>634</v>
      </c>
      <c r="Z29" s="227" t="s">
        <v>635</v>
      </c>
      <c r="AA29" s="314">
        <f>VLOOKUP($N$25,$AD$27:$BD$44,3,FALSE)</f>
        <v>54000</v>
      </c>
      <c r="AB29" s="312" t="s">
        <v>636</v>
      </c>
      <c r="AC29" s="200"/>
      <c r="AD29" s="315"/>
      <c r="AE29" s="316"/>
      <c r="AF29" s="316"/>
      <c r="AG29" s="316"/>
      <c r="AH29" s="316"/>
      <c r="AI29" s="316"/>
      <c r="AJ29" s="316"/>
      <c r="AK29" s="316"/>
      <c r="AL29" s="316"/>
      <c r="AM29" s="316"/>
      <c r="AN29" s="316"/>
      <c r="AO29" s="316"/>
      <c r="AP29" s="355"/>
      <c r="AQ29" s="355"/>
      <c r="AR29" s="355"/>
      <c r="AS29" s="355"/>
      <c r="AT29" s="355"/>
      <c r="AU29" s="356"/>
      <c r="AV29" s="316"/>
      <c r="AW29" s="355"/>
      <c r="AX29" s="355"/>
      <c r="AY29" s="316"/>
      <c r="AZ29" s="368"/>
      <c r="BA29" s="316"/>
      <c r="BB29" s="316"/>
      <c r="BC29" s="369"/>
      <c r="BD29" s="370"/>
    </row>
    <row r="30" spans="1:56" ht="42.75" hidden="1">
      <c r="L30" s="207" t="s">
        <v>121</v>
      </c>
      <c r="M30" s="208" t="s">
        <v>113</v>
      </c>
      <c r="N30" s="208">
        <v>8</v>
      </c>
      <c r="O30" s="209">
        <f>B10</f>
        <v>8</v>
      </c>
      <c r="P30" s="210" t="s">
        <v>122</v>
      </c>
      <c r="Q30" s="203"/>
      <c r="R30" s="216" t="s">
        <v>123</v>
      </c>
      <c r="S30" s="217" t="s">
        <v>58</v>
      </c>
      <c r="T30" s="225" t="s">
        <v>124</v>
      </c>
      <c r="U30" s="266">
        <f>1000000/U29</f>
        <v>52.015604681404419</v>
      </c>
      <c r="V30" s="216" t="s">
        <v>125</v>
      </c>
      <c r="W30" s="200"/>
      <c r="X30" s="264" t="s">
        <v>639</v>
      </c>
      <c r="Y30" s="227" t="s">
        <v>640</v>
      </c>
      <c r="Z30" s="227" t="s">
        <v>109</v>
      </c>
      <c r="AA30" s="314">
        <f>VLOOKUP($N$25,$AD$27:$BD$44,7,FALSE)</f>
        <v>0</v>
      </c>
      <c r="AB30" s="317" t="s">
        <v>119</v>
      </c>
      <c r="AC30" s="200"/>
      <c r="AD30" s="318"/>
      <c r="AE30" s="319"/>
      <c r="AF30" s="319"/>
      <c r="AG30" s="319"/>
      <c r="AH30" s="335"/>
      <c r="AI30" s="335"/>
      <c r="AJ30" s="335"/>
      <c r="AK30" s="335"/>
      <c r="AL30" s="319"/>
      <c r="AM30" s="319"/>
      <c r="AN30" s="319"/>
      <c r="AO30" s="319"/>
      <c r="AP30" s="357"/>
      <c r="AQ30" s="357"/>
      <c r="AR30" s="357"/>
      <c r="AS30" s="357"/>
      <c r="AT30" s="357"/>
      <c r="AU30" s="319"/>
      <c r="AV30" s="319"/>
      <c r="AW30" s="357"/>
      <c r="AX30" s="357"/>
      <c r="AY30" s="319"/>
      <c r="AZ30" s="371"/>
      <c r="BA30" s="319"/>
      <c r="BB30" s="319"/>
      <c r="BC30" s="372"/>
      <c r="BD30" s="373"/>
    </row>
    <row r="31" spans="1:56" ht="42.75" hidden="1">
      <c r="L31" s="1208" t="s">
        <v>128</v>
      </c>
      <c r="M31" s="1209"/>
      <c r="N31" s="1209"/>
      <c r="O31" s="1209"/>
      <c r="P31" s="1210"/>
      <c r="Q31" s="203"/>
      <c r="R31" s="1208" t="s">
        <v>129</v>
      </c>
      <c r="S31" s="1209"/>
      <c r="T31" s="1209"/>
      <c r="U31" s="1209"/>
      <c r="V31" s="1210"/>
      <c r="W31" s="200"/>
      <c r="X31" s="264" t="s">
        <v>641</v>
      </c>
      <c r="Y31" s="227" t="s">
        <v>640</v>
      </c>
      <c r="Z31" s="227" t="s">
        <v>109</v>
      </c>
      <c r="AA31" s="314">
        <f>VLOOKUP($N$25,$AD$27:$BD$44,8,FALSE)</f>
        <v>0</v>
      </c>
      <c r="AB31" s="317" t="s">
        <v>119</v>
      </c>
      <c r="AC31" s="200"/>
      <c r="AD31" s="259"/>
      <c r="AE31" s="259"/>
      <c r="AF31" s="259"/>
      <c r="AG31" s="259"/>
      <c r="AH31" s="259"/>
      <c r="AI31" s="259"/>
      <c r="AJ31" s="259"/>
      <c r="AK31" s="259"/>
      <c r="AL31" s="200"/>
      <c r="AM31" s="200"/>
      <c r="AN31" s="200"/>
      <c r="AO31" s="200"/>
      <c r="AP31" s="200"/>
      <c r="AQ31" s="200"/>
      <c r="AR31" s="200"/>
      <c r="AS31" s="200"/>
      <c r="AT31" s="200"/>
      <c r="AU31" s="200"/>
      <c r="AV31" s="200"/>
      <c r="AW31" s="200"/>
      <c r="AX31" s="200"/>
      <c r="AY31" s="200"/>
      <c r="AZ31" s="200"/>
      <c r="BA31" s="200"/>
      <c r="BB31" s="200"/>
      <c r="BC31" s="200"/>
      <c r="BD31" s="200"/>
    </row>
    <row r="32" spans="1:56" ht="78.95" hidden="1" customHeight="1">
      <c r="L32" s="211" t="s">
        <v>132</v>
      </c>
      <c r="M32" s="212" t="s">
        <v>133</v>
      </c>
      <c r="N32" s="212" t="s">
        <v>134</v>
      </c>
      <c r="O32" s="213" t="s">
        <v>134</v>
      </c>
      <c r="P32" s="214"/>
      <c r="Q32" s="203"/>
      <c r="R32" s="211" t="s">
        <v>135</v>
      </c>
      <c r="S32" s="212" t="s">
        <v>136</v>
      </c>
      <c r="T32" s="251" t="s">
        <v>642</v>
      </c>
      <c r="U32" s="263">
        <f>IF(O33="Ultrashort",ROUNDUP((O47*O65+AA33)*U28/1000,0)+10,O47*O65+AA33)</f>
        <v>3184</v>
      </c>
      <c r="V32" s="267" t="str">
        <f>IF(O33="Ultrashort","us","line")</f>
        <v>line</v>
      </c>
      <c r="W32" s="200"/>
      <c r="X32" s="264" t="s">
        <v>643</v>
      </c>
      <c r="Y32" s="227" t="s">
        <v>644</v>
      </c>
      <c r="Z32" s="227" t="s">
        <v>109</v>
      </c>
      <c r="AA32" s="314">
        <f>VLOOKUP($N$25,$AD$27:$BD$44,13,FALSE)</f>
        <v>326</v>
      </c>
      <c r="AB32" s="317" t="s">
        <v>119</v>
      </c>
      <c r="AC32" s="200"/>
      <c r="AD32" s="259"/>
      <c r="AE32" s="259"/>
      <c r="AF32" s="259"/>
      <c r="AG32" s="259"/>
      <c r="AH32" s="259"/>
      <c r="AI32" s="259"/>
      <c r="AJ32" s="259"/>
      <c r="AK32" s="259"/>
      <c r="AL32" s="200"/>
      <c r="AM32" s="200"/>
      <c r="AN32" s="200"/>
      <c r="AO32" s="200"/>
      <c r="AP32" s="200"/>
      <c r="AQ32" s="200"/>
      <c r="AR32" s="200"/>
      <c r="AS32" s="200"/>
      <c r="AT32" s="200"/>
      <c r="AU32" s="200"/>
      <c r="AV32" s="200"/>
      <c r="AW32" s="200"/>
      <c r="AX32" s="200"/>
      <c r="AY32" s="200"/>
      <c r="AZ32" s="200"/>
      <c r="BA32" s="200"/>
      <c r="BB32" s="200"/>
      <c r="BC32" s="200"/>
      <c r="BD32" s="200"/>
    </row>
    <row r="33" spans="12:56" ht="57" hidden="1">
      <c r="L33" s="211" t="s">
        <v>479</v>
      </c>
      <c r="M33" s="212" t="s">
        <v>480</v>
      </c>
      <c r="N33" s="212" t="s">
        <v>481</v>
      </c>
      <c r="O33" s="213" t="s">
        <v>481</v>
      </c>
      <c r="P33" s="214"/>
      <c r="Q33" s="203"/>
      <c r="R33" s="264" t="s">
        <v>142</v>
      </c>
      <c r="S33" s="227" t="s">
        <v>143</v>
      </c>
      <c r="T33" s="268" t="s">
        <v>645</v>
      </c>
      <c r="U33" s="269">
        <f>IF(O33="Ultrashort",U58,U60+IF(O51=0,0,ROUNDUP(AA38*1000/U28,0)))</f>
        <v>1690</v>
      </c>
      <c r="V33" s="267" t="str">
        <f>IF(O33="Ultrashort","us","line")</f>
        <v>line</v>
      </c>
      <c r="W33" s="200"/>
      <c r="X33" s="264" t="s">
        <v>646</v>
      </c>
      <c r="Y33" s="227" t="s">
        <v>647</v>
      </c>
      <c r="Z33" s="227" t="s">
        <v>109</v>
      </c>
      <c r="AA33" s="314">
        <f>VLOOKUP($N$25,$AD$27:$BD$44,14,FALSE)</f>
        <v>144</v>
      </c>
      <c r="AB33" s="317" t="s">
        <v>140</v>
      </c>
      <c r="AC33" s="200"/>
      <c r="AD33" s="259"/>
      <c r="AE33" s="259"/>
      <c r="AF33" s="259"/>
      <c r="AG33" s="322"/>
      <c r="AH33" s="322"/>
      <c r="AI33" s="322"/>
      <c r="AJ33" s="322"/>
      <c r="AK33" s="322"/>
      <c r="AL33" s="322"/>
      <c r="AM33" s="322"/>
      <c r="AN33" s="322"/>
      <c r="AO33" s="200"/>
      <c r="AP33" s="200"/>
      <c r="AQ33" s="200"/>
      <c r="AR33" s="200"/>
      <c r="AS33" s="200"/>
      <c r="AT33" s="200"/>
      <c r="AU33" s="200"/>
      <c r="AV33" s="200"/>
      <c r="AW33" s="200"/>
      <c r="AX33" s="200"/>
      <c r="AY33" s="200"/>
      <c r="AZ33" s="200"/>
      <c r="BA33" s="200"/>
      <c r="BB33" s="200"/>
      <c r="BC33" s="200"/>
      <c r="BD33" s="200"/>
    </row>
    <row r="34" spans="12:56" ht="132" hidden="1" customHeight="1">
      <c r="L34" s="211" t="s">
        <v>141</v>
      </c>
      <c r="M34" s="212" t="s">
        <v>128</v>
      </c>
      <c r="N34" s="212">
        <f>VLOOKUP($N$25,$AD$27:$BB$44,19,FALSE)</f>
        <v>10000</v>
      </c>
      <c r="O34" s="215">
        <f>B9</f>
        <v>10000</v>
      </c>
      <c r="P34" s="214" t="s">
        <v>117</v>
      </c>
      <c r="Q34" s="203"/>
      <c r="R34" s="264" t="s">
        <v>149</v>
      </c>
      <c r="S34" s="227" t="s">
        <v>150</v>
      </c>
      <c r="T34" s="268" t="s">
        <v>648</v>
      </c>
      <c r="U34" s="269">
        <f>IF(O33="Ultrashort",ROUNDUP(((1000000/O59))*O58,0),ROUNDUP(((1000000000/O59)/U28)*O58,0))</f>
        <v>0</v>
      </c>
      <c r="V34" s="267" t="str">
        <f>IF(O33="Ultrashort","us","line")</f>
        <v>line</v>
      </c>
      <c r="W34" s="200"/>
      <c r="X34" s="264" t="s">
        <v>491</v>
      </c>
      <c r="Y34" s="227" t="s">
        <v>649</v>
      </c>
      <c r="Z34" s="227" t="s">
        <v>109</v>
      </c>
      <c r="AA34" s="314">
        <f>VLOOKUP($N$25,$AD$27:$BD$44,15,FALSE)</f>
        <v>34</v>
      </c>
      <c r="AB34" s="317" t="s">
        <v>140</v>
      </c>
      <c r="AC34" s="200"/>
      <c r="AD34" s="259"/>
      <c r="AE34" s="259"/>
      <c r="AF34" s="259"/>
      <c r="AG34" s="322"/>
      <c r="AH34" s="322"/>
      <c r="AI34" s="322"/>
      <c r="AJ34" s="322"/>
      <c r="AK34" s="322"/>
      <c r="AL34" s="322"/>
      <c r="AM34" s="322"/>
      <c r="AN34" s="322"/>
      <c r="AO34" s="200"/>
      <c r="AP34" s="200"/>
      <c r="AQ34" s="200"/>
      <c r="AR34" s="200"/>
      <c r="AS34" s="200"/>
      <c r="AT34" s="200"/>
      <c r="AU34" s="200"/>
      <c r="AV34" s="200"/>
      <c r="AW34" s="200"/>
      <c r="AX34" s="200"/>
      <c r="AY34" s="200"/>
      <c r="AZ34" s="200"/>
      <c r="BA34" s="200"/>
      <c r="BB34" s="200"/>
      <c r="BC34" s="200"/>
      <c r="BD34" s="200"/>
    </row>
    <row r="35" spans="12:56" ht="71.25" hidden="1">
      <c r="L35" s="216" t="s">
        <v>147</v>
      </c>
      <c r="M35" s="217" t="s">
        <v>148</v>
      </c>
      <c r="N35" s="212">
        <v>0</v>
      </c>
      <c r="O35" s="218">
        <f>B20</f>
        <v>0</v>
      </c>
      <c r="P35" s="219" t="s">
        <v>117</v>
      </c>
      <c r="Q35" s="203"/>
      <c r="R35" s="216" t="s">
        <v>156</v>
      </c>
      <c r="S35" s="225" t="s">
        <v>157</v>
      </c>
      <c r="T35" s="225" t="s">
        <v>158</v>
      </c>
      <c r="U35" s="270">
        <f>IF(O33="Ultrashort",AA70,ROUNDUP(AA70*1000/U28,0))</f>
        <v>2213</v>
      </c>
      <c r="V35" s="267" t="str">
        <f>IF(O33="Ultrashort","us","line")</f>
        <v>line</v>
      </c>
      <c r="W35" s="200"/>
      <c r="X35" s="264" t="s">
        <v>650</v>
      </c>
      <c r="Y35" s="227" t="s">
        <v>651</v>
      </c>
      <c r="Z35" s="227" t="s">
        <v>109</v>
      </c>
      <c r="AA35" s="314">
        <f>VLOOKUP($N$25,$AD$27:$BD$44,16,FALSE)</f>
        <v>2460</v>
      </c>
      <c r="AB35" s="918" t="s">
        <v>106</v>
      </c>
      <c r="AC35" s="200"/>
      <c r="AD35" s="259"/>
      <c r="AE35" s="259"/>
      <c r="AF35" s="259"/>
      <c r="AG35" s="322"/>
      <c r="AH35" s="322"/>
      <c r="AI35" s="322"/>
      <c r="AJ35" s="322"/>
      <c r="AK35" s="322"/>
      <c r="AL35" s="322"/>
      <c r="AM35" s="322"/>
      <c r="AN35" s="322"/>
      <c r="AO35" s="200"/>
      <c r="AP35" s="200"/>
      <c r="AQ35" s="200"/>
      <c r="AR35" s="200"/>
      <c r="AS35" s="322"/>
      <c r="AT35" s="322"/>
      <c r="AU35" s="322"/>
      <c r="AV35" s="322"/>
      <c r="AW35" s="322"/>
      <c r="AX35" s="322"/>
      <c r="AY35" s="200"/>
      <c r="AZ35" s="200"/>
      <c r="BA35" s="200"/>
      <c r="BB35" s="200"/>
      <c r="BC35" s="200"/>
      <c r="BD35" s="200"/>
    </row>
    <row r="36" spans="12:56" ht="123" hidden="1" customHeight="1">
      <c r="L36" s="220" t="s">
        <v>155</v>
      </c>
      <c r="M36" s="221" t="str">
        <f>"交叠曝光时间 
范围:0"&amp;"-"&amp;ROUNDUP(((U32-AA34)*U28/1000),0)</f>
        <v>交叠曝光时间 
范围:0-19020</v>
      </c>
      <c r="N36" s="212">
        <f>ROUNDUP((U32-AA34)*U28/1000,0)</f>
        <v>19020</v>
      </c>
      <c r="O36" s="222">
        <v>0</v>
      </c>
      <c r="P36" s="219" t="s">
        <v>117</v>
      </c>
      <c r="Q36" s="203"/>
      <c r="R36" s="1208" t="s">
        <v>164</v>
      </c>
      <c r="S36" s="1209"/>
      <c r="T36" s="1209"/>
      <c r="U36" s="1209"/>
      <c r="V36" s="1210"/>
      <c r="W36" s="200"/>
      <c r="X36" s="264" t="s">
        <v>652</v>
      </c>
      <c r="Y36" s="227" t="s">
        <v>653</v>
      </c>
      <c r="Z36" s="217" t="s">
        <v>109</v>
      </c>
      <c r="AA36" s="314">
        <f>VLOOKUP($N$25,$AD$27:$BD$44,27,FALSE)</f>
        <v>20</v>
      </c>
      <c r="AB36" s="317" t="s">
        <v>117</v>
      </c>
      <c r="AC36" s="200"/>
      <c r="AD36" s="259"/>
      <c r="AE36" s="320"/>
      <c r="AF36" s="259"/>
      <c r="AG36" s="322"/>
      <c r="AH36" s="322"/>
      <c r="AI36" s="322"/>
      <c r="AJ36" s="322"/>
      <c r="AK36" s="322"/>
      <c r="AL36" s="322"/>
      <c r="AM36" s="322"/>
      <c r="AN36" s="322"/>
      <c r="AO36" s="200"/>
      <c r="AP36" s="200"/>
      <c r="AQ36" s="200"/>
      <c r="AR36" s="200"/>
      <c r="AS36" s="322"/>
      <c r="AT36" s="322"/>
      <c r="AU36" s="322"/>
      <c r="AV36" s="322"/>
      <c r="AW36" s="322"/>
      <c r="AX36" s="322"/>
      <c r="AY36" s="200"/>
      <c r="AZ36" s="200"/>
      <c r="BA36" s="200"/>
      <c r="BB36" s="200"/>
      <c r="BC36" s="200"/>
      <c r="BD36" s="200"/>
    </row>
    <row r="37" spans="12:56" ht="142.5" hidden="1">
      <c r="L37" s="223" t="s">
        <v>161</v>
      </c>
      <c r="M37" s="224" t="s">
        <v>162</v>
      </c>
      <c r="N37" s="225" t="s">
        <v>163</v>
      </c>
      <c r="O37" s="226">
        <v>0</v>
      </c>
      <c r="P37" s="219" t="s">
        <v>117</v>
      </c>
      <c r="Q37" s="203"/>
      <c r="R37" s="271" t="s">
        <v>654</v>
      </c>
      <c r="S37" s="272" t="s">
        <v>655</v>
      </c>
      <c r="T37" s="272" t="s">
        <v>656</v>
      </c>
      <c r="U37" s="263">
        <f>IF(O33="Ultrashort",IF(O34&gt;AA35/1000,ROUNDUP((O34*1000-AA35)/1000,0),1),MAX(ROUNDUP((O34*1000-AA35)/U28,0),1))</f>
        <v>1656</v>
      </c>
      <c r="V37" s="267" t="str">
        <f>IF(O33="Ultrashort","us","line")</f>
        <v>line</v>
      </c>
      <c r="W37" s="200"/>
      <c r="X37" s="264" t="s">
        <v>657</v>
      </c>
      <c r="Y37" s="227"/>
      <c r="Z37" s="217" t="s">
        <v>109</v>
      </c>
      <c r="AA37" s="314">
        <f>VLOOKUP($N$25,$AD$27:$BD$44,17,FALSE)</f>
        <v>0</v>
      </c>
      <c r="AB37" s="317"/>
      <c r="AC37" s="200"/>
      <c r="AD37" s="259"/>
      <c r="AE37" s="259"/>
      <c r="AF37" s="259"/>
      <c r="AG37" s="259"/>
      <c r="AH37" s="259"/>
      <c r="AI37" s="259"/>
      <c r="AJ37" s="320"/>
      <c r="AK37" s="259"/>
      <c r="AL37" s="200"/>
      <c r="AM37" s="200"/>
      <c r="AN37" s="200"/>
      <c r="AO37" s="200"/>
      <c r="AP37" s="200"/>
      <c r="AQ37" s="200"/>
      <c r="AR37" s="200"/>
      <c r="AS37" s="322"/>
      <c r="AT37" s="322"/>
      <c r="AU37" s="322"/>
      <c r="AV37" s="322"/>
      <c r="AW37" s="322"/>
      <c r="AX37" s="322"/>
      <c r="AY37" s="200"/>
      <c r="AZ37" s="200"/>
      <c r="BA37" s="200"/>
      <c r="BB37" s="200"/>
      <c r="BC37" s="200"/>
      <c r="BD37" s="200"/>
    </row>
    <row r="38" spans="12:56" ht="67.5" hidden="1">
      <c r="L38" s="1266" t="s">
        <v>167</v>
      </c>
      <c r="M38" s="1267"/>
      <c r="N38" s="1267"/>
      <c r="O38" s="1267"/>
      <c r="P38" s="1268"/>
      <c r="Q38" s="203"/>
      <c r="R38" s="271" t="s">
        <v>658</v>
      </c>
      <c r="S38" s="272" t="s">
        <v>659</v>
      </c>
      <c r="T38" s="272" t="s">
        <v>660</v>
      </c>
      <c r="U38" s="265">
        <f>IF(AND(O34&gt;AA35/1000,O34&lt;=AA36,AND(O61=1,O62=1)),ROUNDUP((1000*O34-AA35)/1000,0),0)</f>
        <v>0</v>
      </c>
      <c r="V38" s="273" t="str">
        <f>IF(OR(O33="Ultrashort",AND(O33="Standard",O34&lt;=AA36)),"us","line")</f>
        <v>line</v>
      </c>
      <c r="W38" s="200"/>
      <c r="X38" s="264" t="s">
        <v>176</v>
      </c>
      <c r="Y38" s="227" t="s">
        <v>177</v>
      </c>
      <c r="Z38" s="227" t="s">
        <v>109</v>
      </c>
      <c r="AA38" s="321">
        <f>VLOOKUP($N$25,$AD$27:$BD$44,26,FALSE)</f>
        <v>0</v>
      </c>
      <c r="AB38" s="317" t="s">
        <v>117</v>
      </c>
      <c r="AC38" s="200"/>
      <c r="AD38" s="322"/>
      <c r="AE38" s="322"/>
      <c r="AF38" s="322"/>
      <c r="AG38" s="322"/>
      <c r="AH38" s="322"/>
      <c r="AI38" s="322"/>
      <c r="AJ38" s="322"/>
      <c r="AK38" s="322"/>
      <c r="AL38" s="322"/>
      <c r="AM38" s="322"/>
      <c r="AN38" s="322"/>
      <c r="AO38" s="322"/>
      <c r="AP38" s="322"/>
      <c r="AQ38" s="322"/>
      <c r="AR38" s="322"/>
      <c r="AS38" s="322"/>
      <c r="AT38" s="322"/>
      <c r="AU38" s="322"/>
      <c r="AV38" s="322"/>
      <c r="AW38" s="322"/>
      <c r="AX38" s="322"/>
      <c r="AY38" s="322"/>
      <c r="AZ38" s="200"/>
      <c r="BA38" s="200"/>
      <c r="BB38" s="200"/>
      <c r="BC38" s="200"/>
      <c r="BD38" s="200"/>
    </row>
    <row r="39" spans="12:56" ht="81.95" hidden="1" customHeight="1">
      <c r="L39" s="227" t="s">
        <v>172</v>
      </c>
      <c r="M39" s="227" t="s">
        <v>167</v>
      </c>
      <c r="N39" s="227">
        <v>0</v>
      </c>
      <c r="O39" s="228">
        <f>B21</f>
        <v>0</v>
      </c>
      <c r="P39" s="229"/>
      <c r="Q39" s="203"/>
      <c r="R39" s="274" t="s">
        <v>173</v>
      </c>
      <c r="S39" s="275" t="s">
        <v>661</v>
      </c>
      <c r="T39" s="275" t="s">
        <v>662</v>
      </c>
      <c r="U39" s="265">
        <f>IF(O33="Ultrashort",O35,ROUNDUP((O35*1000)/U28,0))</f>
        <v>0</v>
      </c>
      <c r="V39" s="267" t="str">
        <f>IF(O33="Ultrashort","us","line")</f>
        <v>line</v>
      </c>
      <c r="W39" s="200"/>
      <c r="X39" s="276" t="s">
        <v>183</v>
      </c>
      <c r="Y39" s="323" t="s">
        <v>184</v>
      </c>
      <c r="Z39" s="323" t="s">
        <v>109</v>
      </c>
      <c r="AA39" s="314">
        <f>VLOOKUP($N$25,$AD$27:$BD$44,24,FALSE)</f>
        <v>0</v>
      </c>
      <c r="AB39" s="312" t="s">
        <v>140</v>
      </c>
      <c r="AC39" s="200"/>
      <c r="AD39" s="259"/>
      <c r="AE39" s="259"/>
      <c r="AF39" s="259"/>
      <c r="AG39" s="259"/>
      <c r="AH39" s="259"/>
      <c r="AI39" s="259"/>
      <c r="AJ39" s="320"/>
      <c r="AK39" s="259"/>
      <c r="AL39" s="200"/>
      <c r="AM39" s="200"/>
      <c r="AN39" s="200"/>
      <c r="AO39" s="200"/>
      <c r="AP39" s="200"/>
      <c r="AQ39" s="200"/>
      <c r="AR39" s="200"/>
      <c r="AS39" s="200"/>
      <c r="AT39" s="200"/>
      <c r="AU39" s="200"/>
      <c r="AV39" s="200"/>
      <c r="AW39" s="200"/>
      <c r="AX39" s="200"/>
      <c r="AY39" s="200"/>
      <c r="AZ39" s="200"/>
      <c r="BA39" s="200"/>
      <c r="BB39" s="200"/>
      <c r="BC39" s="200"/>
      <c r="BD39" s="200"/>
    </row>
    <row r="40" spans="12:56" ht="81" hidden="1" customHeight="1">
      <c r="L40" s="207" t="s">
        <v>178</v>
      </c>
      <c r="M40" s="208" t="s">
        <v>179</v>
      </c>
      <c r="N40" s="208">
        <v>0</v>
      </c>
      <c r="O40" s="230">
        <v>0</v>
      </c>
      <c r="P40" s="210"/>
      <c r="Q40" s="203"/>
      <c r="R40" s="274" t="s">
        <v>500</v>
      </c>
      <c r="S40" s="275" t="s">
        <v>663</v>
      </c>
      <c r="T40" s="275" t="s">
        <v>664</v>
      </c>
      <c r="U40" s="277">
        <f>IF(O33="Ultrashort",200,IF((O34+4*U28/1000)&gt;100,(O34+4*U28/1000),100))</f>
        <v>10024.152</v>
      </c>
      <c r="V40" s="278" t="s">
        <v>117</v>
      </c>
      <c r="W40" s="200"/>
      <c r="X40" s="1214" t="s">
        <v>189</v>
      </c>
      <c r="Y40" s="1215"/>
      <c r="Z40" s="1215"/>
      <c r="AA40" s="1215"/>
      <c r="AB40" s="1216"/>
      <c r="AC40" s="200"/>
      <c r="AD40" s="259"/>
      <c r="AE40" s="259"/>
      <c r="AF40" s="259"/>
      <c r="AG40" s="259"/>
      <c r="AH40" s="259"/>
      <c r="AI40" s="259"/>
      <c r="AJ40" s="320"/>
      <c r="AK40" s="259"/>
      <c r="AL40" s="200"/>
      <c r="AM40" s="200"/>
      <c r="AN40" s="200"/>
      <c r="AO40" s="200"/>
      <c r="AP40" s="200"/>
      <c r="AQ40" s="200"/>
      <c r="AR40" s="200"/>
      <c r="AS40" s="200"/>
      <c r="AT40" s="200"/>
      <c r="AU40" s="200"/>
      <c r="AV40" s="200"/>
      <c r="AW40" s="200"/>
      <c r="AX40" s="200"/>
      <c r="AY40" s="200"/>
      <c r="AZ40" s="200"/>
      <c r="BA40" s="200"/>
      <c r="BB40" s="200"/>
      <c r="BC40" s="200"/>
      <c r="BD40" s="200"/>
    </row>
    <row r="41" spans="12:56" ht="216" hidden="1">
      <c r="L41" s="1214" t="s">
        <v>185</v>
      </c>
      <c r="M41" s="1215"/>
      <c r="N41" s="1215"/>
      <c r="O41" s="1215"/>
      <c r="P41" s="1216"/>
      <c r="Q41" s="203"/>
      <c r="R41" s="274" t="s">
        <v>506</v>
      </c>
      <c r="S41" s="275" t="s">
        <v>665</v>
      </c>
      <c r="T41" s="275" t="s">
        <v>666</v>
      </c>
      <c r="U41" s="277">
        <f>IF(O33="Ultrashort",ROUNDUP((O47*O65+11+AA37)*U28/1000,0),O47*O65+11+AA37)</f>
        <v>3051</v>
      </c>
      <c r="V41" s="267" t="str">
        <f>IF(O33="Ultrashort","us","line")</f>
        <v>line</v>
      </c>
      <c r="W41" s="200"/>
      <c r="X41" s="204" t="s">
        <v>91</v>
      </c>
      <c r="Y41" s="205" t="s">
        <v>92</v>
      </c>
      <c r="Z41" s="205" t="s">
        <v>93</v>
      </c>
      <c r="AA41" s="205" t="s">
        <v>96</v>
      </c>
      <c r="AB41" s="308" t="s">
        <v>95</v>
      </c>
      <c r="AC41" s="200"/>
      <c r="AD41" s="259"/>
      <c r="AE41" s="259"/>
      <c r="AF41" s="259"/>
      <c r="AG41" s="259"/>
      <c r="AH41" s="259"/>
      <c r="AI41" s="259"/>
      <c r="AJ41" s="336"/>
      <c r="AK41" s="336"/>
      <c r="AL41" s="200"/>
      <c r="AM41" s="200"/>
      <c r="AN41" s="200"/>
      <c r="AO41" s="200"/>
      <c r="AP41" s="200"/>
      <c r="AQ41" s="200"/>
      <c r="AR41" s="200"/>
      <c r="AS41" s="200"/>
      <c r="AT41" s="200"/>
      <c r="AU41" s="200"/>
      <c r="AV41" s="200"/>
      <c r="AW41" s="200"/>
      <c r="AX41" s="200"/>
      <c r="AY41" s="200"/>
      <c r="AZ41" s="200"/>
      <c r="BA41" s="200"/>
      <c r="BB41" s="200"/>
      <c r="BC41" s="200"/>
      <c r="BD41" s="200"/>
    </row>
    <row r="42" spans="12:56" ht="28.5" hidden="1">
      <c r="L42" s="207" t="s">
        <v>190</v>
      </c>
      <c r="M42" s="208" t="s">
        <v>191</v>
      </c>
      <c r="N42" s="208">
        <v>0</v>
      </c>
      <c r="O42" s="209">
        <v>0</v>
      </c>
      <c r="P42" s="210" t="s">
        <v>117</v>
      </c>
      <c r="Q42" s="203"/>
      <c r="R42" s="1214" t="s">
        <v>192</v>
      </c>
      <c r="S42" s="1215"/>
      <c r="T42" s="1215"/>
      <c r="U42" s="1215"/>
      <c r="V42" s="1216"/>
      <c r="W42" s="200"/>
      <c r="X42" s="211" t="s">
        <v>198</v>
      </c>
      <c r="Y42" s="212" t="s">
        <v>199</v>
      </c>
      <c r="Z42" s="212" t="s">
        <v>200</v>
      </c>
      <c r="AA42" s="311">
        <v>7</v>
      </c>
      <c r="AB42" s="312" t="s">
        <v>201</v>
      </c>
      <c r="AC42" s="200"/>
      <c r="AD42" s="259"/>
      <c r="AE42" s="259"/>
      <c r="AF42" s="259"/>
      <c r="AG42" s="259"/>
      <c r="AH42" s="259"/>
      <c r="AI42" s="259"/>
      <c r="AJ42" s="336"/>
      <c r="AK42" s="336"/>
      <c r="AL42" s="200"/>
      <c r="AM42" s="200"/>
      <c r="AN42" s="200"/>
      <c r="AO42" s="200"/>
      <c r="AP42" s="200"/>
      <c r="AQ42" s="200"/>
      <c r="AR42" s="200"/>
      <c r="AS42" s="200"/>
      <c r="AT42" s="200"/>
      <c r="AU42" s="200"/>
      <c r="AV42" s="200"/>
      <c r="AW42" s="200"/>
      <c r="AX42" s="200"/>
      <c r="AY42" s="200"/>
      <c r="AZ42" s="200"/>
      <c r="BA42" s="200"/>
      <c r="BB42" s="200"/>
      <c r="BC42" s="200"/>
      <c r="BD42" s="200"/>
    </row>
    <row r="43" spans="12:56" ht="57" hidden="1">
      <c r="L43" s="1214" t="s">
        <v>193</v>
      </c>
      <c r="M43" s="1215"/>
      <c r="N43" s="1215"/>
      <c r="O43" s="1215"/>
      <c r="P43" s="233"/>
      <c r="Q43" s="203"/>
      <c r="R43" s="250" t="s">
        <v>194</v>
      </c>
      <c r="S43" s="251" t="s">
        <v>195</v>
      </c>
      <c r="T43" s="251" t="s">
        <v>196</v>
      </c>
      <c r="U43" s="263">
        <f>U30*AA59</f>
        <v>842502990.89726913</v>
      </c>
      <c r="V43" s="279" t="s">
        <v>197</v>
      </c>
      <c r="W43" s="200"/>
      <c r="X43" s="264" t="s">
        <v>207</v>
      </c>
      <c r="Y43" s="227" t="s">
        <v>208</v>
      </c>
      <c r="Z43" s="227" t="s">
        <v>209</v>
      </c>
      <c r="AA43" s="321">
        <v>1</v>
      </c>
      <c r="AB43" s="317" t="s">
        <v>201</v>
      </c>
      <c r="AC43" s="200"/>
      <c r="AD43" s="259"/>
      <c r="AE43" s="259"/>
      <c r="AF43" s="259"/>
      <c r="AG43" s="259"/>
      <c r="AH43" s="259"/>
      <c r="AI43" s="259"/>
      <c r="AJ43" s="336"/>
      <c r="AK43" s="336"/>
      <c r="AL43" s="200"/>
      <c r="AM43" s="200"/>
      <c r="AN43" s="200"/>
      <c r="AO43" s="200"/>
      <c r="AP43" s="200"/>
      <c r="AQ43" s="200"/>
      <c r="AR43" s="200"/>
      <c r="AS43" s="200"/>
      <c r="AT43" s="200"/>
      <c r="AU43" s="200"/>
      <c r="AV43" s="200"/>
      <c r="AW43" s="200"/>
      <c r="AX43" s="200"/>
      <c r="AY43" s="200"/>
      <c r="AZ43" s="200"/>
      <c r="BA43" s="200"/>
      <c r="BB43" s="200"/>
      <c r="BC43" s="200"/>
      <c r="BD43" s="200"/>
    </row>
    <row r="44" spans="12:56" ht="41.1" hidden="1" customHeight="1">
      <c r="L44" s="211" t="s">
        <v>203</v>
      </c>
      <c r="M44" s="212" t="s">
        <v>202</v>
      </c>
      <c r="N44" s="212">
        <v>0</v>
      </c>
      <c r="O44" s="215">
        <v>0</v>
      </c>
      <c r="P44" s="234" t="s">
        <v>119</v>
      </c>
      <c r="Q44" s="203"/>
      <c r="R44" s="280" t="s">
        <v>204</v>
      </c>
      <c r="S44" s="281" t="s">
        <v>205</v>
      </c>
      <c r="T44" s="220" t="s">
        <v>206</v>
      </c>
      <c r="U44" s="265">
        <f>U30*AA66</f>
        <v>848930351.10533154</v>
      </c>
      <c r="V44" s="282" t="s">
        <v>197</v>
      </c>
      <c r="W44" s="200"/>
      <c r="X44" s="264" t="s">
        <v>215</v>
      </c>
      <c r="Y44" s="227" t="s">
        <v>216</v>
      </c>
      <c r="Z44" s="227" t="s">
        <v>217</v>
      </c>
      <c r="AA44" s="321">
        <v>14</v>
      </c>
      <c r="AB44" s="317" t="s">
        <v>201</v>
      </c>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row>
    <row r="45" spans="12:56" ht="27" hidden="1" customHeight="1">
      <c r="L45" s="235" t="s">
        <v>211</v>
      </c>
      <c r="M45" s="220" t="s">
        <v>210</v>
      </c>
      <c r="N45" s="220">
        <v>0</v>
      </c>
      <c r="O45" s="236">
        <v>0</v>
      </c>
      <c r="P45" s="237" t="s">
        <v>119</v>
      </c>
      <c r="Q45" s="203"/>
      <c r="R45" s="283" t="s">
        <v>212</v>
      </c>
      <c r="S45" s="284" t="s">
        <v>213</v>
      </c>
      <c r="T45" s="225" t="s">
        <v>214</v>
      </c>
      <c r="U45" s="277">
        <f>1250*O53*(100-O56)</f>
        <v>1225000000</v>
      </c>
      <c r="V45" s="285" t="s">
        <v>197</v>
      </c>
      <c r="W45" s="200"/>
      <c r="X45" s="264" t="s">
        <v>220</v>
      </c>
      <c r="Y45" s="227" t="s">
        <v>221</v>
      </c>
      <c r="Z45" s="227" t="s">
        <v>222</v>
      </c>
      <c r="AA45" s="321">
        <v>20</v>
      </c>
      <c r="AB45" s="317" t="s">
        <v>201</v>
      </c>
      <c r="AC45" s="259"/>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row>
    <row r="46" spans="12:56" ht="28.5" hidden="1">
      <c r="L46" s="235" t="s">
        <v>19</v>
      </c>
      <c r="M46" s="220" t="s">
        <v>218</v>
      </c>
      <c r="N46" s="220">
        <f>VLOOKUP($N$25,$AD$27:$BB$44,20,FALSE)</f>
        <v>5328</v>
      </c>
      <c r="O46" s="236">
        <f>B4</f>
        <v>5328</v>
      </c>
      <c r="P46" s="237" t="s">
        <v>119</v>
      </c>
      <c r="Q46" s="203"/>
      <c r="R46" s="231" t="s">
        <v>219</v>
      </c>
      <c r="S46" s="232"/>
      <c r="T46" s="232"/>
      <c r="U46" s="232"/>
      <c r="V46" s="233"/>
      <c r="W46" s="200"/>
      <c r="X46" s="264" t="s">
        <v>227</v>
      </c>
      <c r="Y46" s="227" t="s">
        <v>228</v>
      </c>
      <c r="Z46" s="227" t="s">
        <v>229</v>
      </c>
      <c r="AA46" s="321">
        <v>8</v>
      </c>
      <c r="AB46" s="317" t="s">
        <v>201</v>
      </c>
      <c r="AC46" s="259"/>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row>
    <row r="47" spans="12:56" ht="98.1" hidden="1" customHeight="1">
      <c r="L47" s="238" t="s">
        <v>20</v>
      </c>
      <c r="M47" s="225" t="s">
        <v>223</v>
      </c>
      <c r="N47" s="225">
        <f>VLOOKUP($N$25,$AD$27:$BB$44,21,FALSE)</f>
        <v>3040</v>
      </c>
      <c r="O47" s="239">
        <f>B5</f>
        <v>3040</v>
      </c>
      <c r="P47" s="219" t="s">
        <v>119</v>
      </c>
      <c r="Q47" s="203"/>
      <c r="R47" s="286" t="s">
        <v>224</v>
      </c>
      <c r="S47" s="287" t="s">
        <v>225</v>
      </c>
      <c r="T47" s="251" t="s">
        <v>226</v>
      </c>
      <c r="U47" s="263">
        <f>IF(O53=10000,0,IF(O53=5000,1,IF(O53=2500,2,IF(O53=1000,3,3))))</f>
        <v>0</v>
      </c>
      <c r="V47" s="279" t="s">
        <v>163</v>
      </c>
      <c r="W47" s="200"/>
      <c r="X47" s="264" t="s">
        <v>234</v>
      </c>
      <c r="Y47" s="227" t="s">
        <v>235</v>
      </c>
      <c r="Z47" s="227" t="s">
        <v>229</v>
      </c>
      <c r="AA47" s="321">
        <v>8</v>
      </c>
      <c r="AB47" s="317" t="s">
        <v>201</v>
      </c>
      <c r="AC47" s="259"/>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row>
    <row r="48" spans="12:56" ht="57" hidden="1">
      <c r="L48" s="1214" t="s">
        <v>230</v>
      </c>
      <c r="M48" s="1215"/>
      <c r="N48" s="1215"/>
      <c r="O48" s="1215"/>
      <c r="P48" s="1216"/>
      <c r="Q48" s="203"/>
      <c r="R48" s="288" t="s">
        <v>231</v>
      </c>
      <c r="S48" s="289" t="s">
        <v>232</v>
      </c>
      <c r="T48" s="223" t="s">
        <v>233</v>
      </c>
      <c r="U48" s="290">
        <f>ROUNDUP(O55*VLOOKUP($N$25,$AD$27:$BB$30,23,FALSE)/1000,0)</f>
        <v>0</v>
      </c>
      <c r="V48" s="291" t="s">
        <v>154</v>
      </c>
      <c r="W48" s="200"/>
      <c r="X48" s="264" t="s">
        <v>239</v>
      </c>
      <c r="Y48" s="227" t="s">
        <v>240</v>
      </c>
      <c r="Z48" s="227" t="s">
        <v>241</v>
      </c>
      <c r="AA48" s="321">
        <v>4</v>
      </c>
      <c r="AB48" s="317" t="s">
        <v>201</v>
      </c>
      <c r="AC48" s="200"/>
      <c r="AD48" s="200"/>
      <c r="AE48" s="200"/>
      <c r="AF48" s="200"/>
      <c r="AG48" s="200"/>
      <c r="AH48" s="200"/>
      <c r="AI48" s="200"/>
      <c r="AJ48" s="200"/>
      <c r="AK48" s="200"/>
      <c r="AL48" s="200"/>
      <c r="AM48" s="200"/>
      <c r="AN48" s="200"/>
      <c r="AO48" s="200"/>
      <c r="AP48" s="200"/>
      <c r="AQ48" s="200"/>
      <c r="AR48" s="200"/>
      <c r="AS48" s="200"/>
      <c r="AT48" s="200"/>
      <c r="AU48" s="200"/>
      <c r="AV48" s="200"/>
      <c r="AW48" s="200"/>
      <c r="AX48" s="200"/>
      <c r="AY48" s="200"/>
      <c r="AZ48" s="200"/>
      <c r="BA48" s="200"/>
      <c r="BB48" s="200"/>
      <c r="BC48" s="200"/>
      <c r="BD48" s="200"/>
    </row>
    <row r="49" spans="12:56" ht="28.5" hidden="1">
      <c r="L49" s="240" t="s">
        <v>237</v>
      </c>
      <c r="M49" s="241" t="s">
        <v>236</v>
      </c>
      <c r="N49" s="242">
        <v>0</v>
      </c>
      <c r="O49" s="243">
        <v>0</v>
      </c>
      <c r="P49" s="244" t="s">
        <v>122</v>
      </c>
      <c r="Q49" s="203"/>
      <c r="R49" s="231" t="s">
        <v>238</v>
      </c>
      <c r="S49" s="232"/>
      <c r="T49" s="232"/>
      <c r="U49" s="232"/>
      <c r="V49" s="233"/>
      <c r="W49" s="200"/>
      <c r="X49" s="264" t="s">
        <v>246</v>
      </c>
      <c r="Y49" s="227" t="s">
        <v>247</v>
      </c>
      <c r="Z49" s="227" t="s">
        <v>248</v>
      </c>
      <c r="AA49" s="321">
        <v>12</v>
      </c>
      <c r="AB49" s="317" t="s">
        <v>201</v>
      </c>
      <c r="AC49" s="200"/>
      <c r="AD49" s="200"/>
      <c r="AE49" s="200"/>
      <c r="AF49" s="200"/>
      <c r="AG49" s="200"/>
      <c r="AH49" s="200"/>
      <c r="AI49" s="200"/>
      <c r="AJ49" s="200"/>
      <c r="AK49" s="200"/>
      <c r="AL49" s="200"/>
      <c r="AM49" s="200"/>
      <c r="AN49" s="200"/>
      <c r="AO49" s="200"/>
      <c r="AP49" s="200"/>
      <c r="AQ49" s="200"/>
      <c r="AR49" s="200"/>
      <c r="AS49" s="200"/>
      <c r="AT49" s="200"/>
      <c r="AU49" s="200"/>
      <c r="AV49" s="200"/>
      <c r="AW49" s="200"/>
      <c r="AX49" s="200"/>
      <c r="AY49" s="200"/>
      <c r="AZ49" s="200"/>
      <c r="BA49" s="200"/>
      <c r="BB49" s="200"/>
      <c r="BC49" s="200"/>
      <c r="BD49" s="200"/>
    </row>
    <row r="50" spans="12:56" ht="57" hidden="1">
      <c r="L50" s="1214" t="s">
        <v>242</v>
      </c>
      <c r="M50" s="1215"/>
      <c r="N50" s="1215"/>
      <c r="O50" s="1215"/>
      <c r="P50" s="1216"/>
      <c r="Q50" s="200"/>
      <c r="R50" s="292" t="s">
        <v>243</v>
      </c>
      <c r="S50" s="293" t="s">
        <v>244</v>
      </c>
      <c r="T50" s="294" t="s">
        <v>245</v>
      </c>
      <c r="U50" s="295">
        <f>IF(ROUNDUP(AA73*1000*8/O53,0)&gt;200000000,200000000,ROUNDUP(AA73*1000*8/O53,0))</f>
        <v>4905736</v>
      </c>
      <c r="V50" s="296" t="s">
        <v>106</v>
      </c>
      <c r="W50" s="200"/>
      <c r="X50" s="264" t="s">
        <v>252</v>
      </c>
      <c r="Y50" s="220" t="s">
        <v>253</v>
      </c>
      <c r="Z50" s="227" t="s">
        <v>254</v>
      </c>
      <c r="AA50" s="321">
        <f>AA45+AA46+AA47</f>
        <v>36</v>
      </c>
      <c r="AB50" s="317" t="s">
        <v>201</v>
      </c>
      <c r="AC50" s="200"/>
      <c r="AD50" s="1214" t="s">
        <v>255</v>
      </c>
      <c r="AE50" s="1215"/>
      <c r="AF50" s="1215"/>
      <c r="AG50" s="1215"/>
      <c r="AH50" s="1215"/>
      <c r="AI50" s="1217"/>
      <c r="AJ50" s="200"/>
      <c r="AK50" s="200"/>
      <c r="AL50" s="200"/>
      <c r="AM50" s="200"/>
      <c r="AN50" s="200"/>
      <c r="AO50" s="200"/>
      <c r="AP50" s="200"/>
      <c r="AQ50" s="200"/>
      <c r="AR50" s="200"/>
      <c r="AS50" s="200"/>
      <c r="AT50" s="200"/>
      <c r="AU50" s="200"/>
      <c r="AV50" s="200"/>
      <c r="AW50" s="200"/>
      <c r="AX50" s="200"/>
      <c r="AY50" s="200"/>
      <c r="AZ50" s="200"/>
      <c r="BA50" s="200"/>
      <c r="BB50" s="200"/>
      <c r="BC50" s="200"/>
      <c r="BD50" s="200"/>
    </row>
    <row r="51" spans="12:56" ht="57" hidden="1">
      <c r="L51" s="245" t="s">
        <v>250</v>
      </c>
      <c r="M51" s="246" t="s">
        <v>249</v>
      </c>
      <c r="N51" s="247">
        <v>0</v>
      </c>
      <c r="O51" s="248">
        <v>0</v>
      </c>
      <c r="P51" s="249" t="s">
        <v>122</v>
      </c>
      <c r="Q51" s="200"/>
      <c r="R51" s="231" t="s">
        <v>251</v>
      </c>
      <c r="S51" s="232"/>
      <c r="T51" s="232"/>
      <c r="U51" s="232"/>
      <c r="V51" s="233"/>
      <c r="W51" s="200"/>
      <c r="X51" s="264" t="s">
        <v>260</v>
      </c>
      <c r="Y51" s="220" t="s">
        <v>261</v>
      </c>
      <c r="Z51" s="227" t="s">
        <v>262</v>
      </c>
      <c r="AA51" s="321">
        <f>AA42+AA43+AA44+AA48</f>
        <v>26</v>
      </c>
      <c r="AB51" s="317" t="s">
        <v>201</v>
      </c>
      <c r="AC51" s="200"/>
      <c r="AD51" s="204" t="s">
        <v>263</v>
      </c>
      <c r="AE51" s="205" t="s">
        <v>264</v>
      </c>
      <c r="AF51" s="205" t="s">
        <v>92</v>
      </c>
      <c r="AG51" s="205" t="s">
        <v>93</v>
      </c>
      <c r="AH51" s="337" t="s">
        <v>265</v>
      </c>
      <c r="AI51" s="206" t="s">
        <v>266</v>
      </c>
      <c r="AJ51" s="200"/>
      <c r="AK51" s="200"/>
      <c r="AL51" s="200"/>
      <c r="AM51" s="200"/>
      <c r="AN51" s="200"/>
      <c r="AO51" s="200"/>
      <c r="AP51" s="200"/>
      <c r="AQ51" s="200"/>
      <c r="AR51" s="200"/>
      <c r="AS51" s="200"/>
      <c r="AT51" s="200"/>
      <c r="AU51" s="200"/>
      <c r="AV51" s="200"/>
      <c r="AW51" s="200"/>
      <c r="AX51" s="200"/>
      <c r="AY51" s="200"/>
      <c r="AZ51" s="200"/>
      <c r="BA51" s="200"/>
      <c r="BB51" s="200"/>
      <c r="BC51" s="200"/>
      <c r="BD51" s="200"/>
    </row>
    <row r="52" spans="12:56" ht="72" hidden="1" customHeight="1">
      <c r="L52" s="1214" t="s">
        <v>256</v>
      </c>
      <c r="M52" s="1215"/>
      <c r="N52" s="1215"/>
      <c r="O52" s="1215"/>
      <c r="P52" s="1216"/>
      <c r="Q52" s="200"/>
      <c r="R52" s="292" t="s">
        <v>257</v>
      </c>
      <c r="S52" s="293" t="s">
        <v>251</v>
      </c>
      <c r="T52" s="294" t="s">
        <v>258</v>
      </c>
      <c r="U52" s="295">
        <f>IF((100-ROUNDDOWN(10*AA68/(125000*O53),0)-1)&lt;0,0,(100-ROUNDDOWN(10*AA68/(125000*O53),0)-1))</f>
        <v>99</v>
      </c>
      <c r="V52" s="296" t="s">
        <v>259</v>
      </c>
      <c r="W52" s="200"/>
      <c r="X52" s="216" t="s">
        <v>271</v>
      </c>
      <c r="Y52" s="217" t="s">
        <v>272</v>
      </c>
      <c r="Z52" s="217" t="s">
        <v>273</v>
      </c>
      <c r="AA52" s="270">
        <f>64-AA44-AA48-AA50</f>
        <v>10</v>
      </c>
      <c r="AB52" s="324" t="s">
        <v>201</v>
      </c>
      <c r="AC52" s="200"/>
      <c r="AD52" s="325" t="s">
        <v>667</v>
      </c>
      <c r="AE52" s="251" t="s">
        <v>668</v>
      </c>
      <c r="AF52" s="326" t="s">
        <v>669</v>
      </c>
      <c r="AG52" s="212" t="s">
        <v>543</v>
      </c>
      <c r="AH52" s="338" t="str">
        <f>"0x"&amp;DEC2HEX(U32)</f>
        <v>0xC70</v>
      </c>
      <c r="AI52" s="339"/>
      <c r="AJ52" s="200"/>
      <c r="AK52" s="200"/>
      <c r="AL52" s="200"/>
      <c r="AM52" s="200"/>
      <c r="AN52" s="200"/>
      <c r="AO52" s="200"/>
      <c r="AP52" s="200"/>
      <c r="AQ52" s="200"/>
      <c r="AR52" s="200"/>
      <c r="AS52" s="200"/>
      <c r="AT52" s="200"/>
      <c r="AU52" s="200"/>
      <c r="AV52" s="200"/>
      <c r="AW52" s="200"/>
      <c r="AX52" s="200"/>
      <c r="AY52" s="200"/>
      <c r="AZ52" s="200"/>
      <c r="BA52" s="200"/>
      <c r="BB52" s="200"/>
      <c r="BC52" s="200"/>
      <c r="BD52" s="200"/>
    </row>
    <row r="53" spans="12:56" ht="42.75" hidden="1">
      <c r="L53" s="250" t="s">
        <v>268</v>
      </c>
      <c r="M53" s="251" t="s">
        <v>267</v>
      </c>
      <c r="N53" s="252" t="s">
        <v>122</v>
      </c>
      <c r="O53" s="253">
        <v>10000</v>
      </c>
      <c r="P53" s="214" t="s">
        <v>269</v>
      </c>
      <c r="Q53" s="200"/>
      <c r="R53" s="231" t="s">
        <v>270</v>
      </c>
      <c r="S53" s="232"/>
      <c r="T53" s="232"/>
      <c r="U53" s="232"/>
      <c r="V53" s="233"/>
      <c r="W53" s="200"/>
      <c r="X53" s="1214" t="s">
        <v>280</v>
      </c>
      <c r="Y53" s="1215"/>
      <c r="Z53" s="1215"/>
      <c r="AA53" s="1215"/>
      <c r="AB53" s="1216"/>
      <c r="AC53" s="200"/>
      <c r="AD53" s="327" t="s">
        <v>522</v>
      </c>
      <c r="AE53" s="251" t="s">
        <v>670</v>
      </c>
      <c r="AF53" s="328" t="s">
        <v>524</v>
      </c>
      <c r="AG53" s="227" t="s">
        <v>525</v>
      </c>
      <c r="AH53" s="340" t="str">
        <f>"0x"&amp;DEC2HEX(IF(O33="Ultrashort",54,AA32))</f>
        <v>0x146</v>
      </c>
      <c r="AI53" s="341" t="s">
        <v>671</v>
      </c>
      <c r="AJ53" s="200"/>
      <c r="AK53" s="200"/>
      <c r="AL53" s="200"/>
      <c r="AM53" s="200"/>
      <c r="AN53" s="200"/>
      <c r="AO53" s="200"/>
      <c r="AP53" s="200"/>
      <c r="AQ53" s="200"/>
      <c r="AR53" s="200"/>
      <c r="AS53" s="200"/>
      <c r="AT53" s="200"/>
      <c r="AU53" s="200"/>
      <c r="AV53" s="200"/>
      <c r="AW53" s="200"/>
      <c r="AX53" s="200"/>
      <c r="AY53" s="200"/>
      <c r="AZ53" s="200"/>
      <c r="BA53" s="200"/>
      <c r="BB53" s="200"/>
      <c r="BC53" s="200"/>
      <c r="BD53" s="200"/>
    </row>
    <row r="54" spans="12:56" ht="123.95" hidden="1" customHeight="1">
      <c r="L54" s="235" t="s">
        <v>34</v>
      </c>
      <c r="M54" s="220" t="s">
        <v>276</v>
      </c>
      <c r="N54" s="254">
        <v>1500</v>
      </c>
      <c r="O54" s="236">
        <v>8164</v>
      </c>
      <c r="P54" s="237" t="s">
        <v>201</v>
      </c>
      <c r="Q54" s="200"/>
      <c r="R54" s="286" t="s">
        <v>277</v>
      </c>
      <c r="S54" s="287" t="s">
        <v>278</v>
      </c>
      <c r="T54" s="251" t="s">
        <v>672</v>
      </c>
      <c r="U54" s="297" t="str">
        <f>IF((O39=1)*(O32="TriggerWidth"),U32+IF(ROUNDUP((1000*O37/U28),0)&gt;U56,ROUNDUP((1000*O37/U28),0)-U56,0),"null")</f>
        <v>null</v>
      </c>
      <c r="V54" s="298" t="s">
        <v>140</v>
      </c>
      <c r="W54" s="200"/>
      <c r="X54" s="204" t="s">
        <v>91</v>
      </c>
      <c r="Y54" s="205" t="s">
        <v>92</v>
      </c>
      <c r="Z54" s="205" t="s">
        <v>93</v>
      </c>
      <c r="AA54" s="205" t="s">
        <v>96</v>
      </c>
      <c r="AB54" s="308" t="s">
        <v>95</v>
      </c>
      <c r="AC54" s="200"/>
      <c r="AD54" s="327" t="s">
        <v>673</v>
      </c>
      <c r="AE54" s="251" t="s">
        <v>674</v>
      </c>
      <c r="AF54" s="328" t="s">
        <v>675</v>
      </c>
      <c r="AG54" s="227" t="s">
        <v>533</v>
      </c>
      <c r="AH54" s="340" t="str">
        <f>"0X"&amp;DEC2HEX(U39)</f>
        <v>0X0</v>
      </c>
      <c r="AI54" s="341"/>
      <c r="AJ54" s="200"/>
      <c r="AK54" s="200"/>
      <c r="AL54" s="200"/>
      <c r="AM54" s="200"/>
      <c r="AN54" s="200"/>
      <c r="AO54" s="200"/>
      <c r="AP54" s="200"/>
      <c r="AQ54" s="200"/>
      <c r="AR54" s="200"/>
      <c r="AS54" s="200"/>
      <c r="AT54" s="200"/>
      <c r="AU54" s="200"/>
      <c r="AV54" s="200"/>
      <c r="AW54" s="200"/>
      <c r="AX54" s="200"/>
      <c r="AY54" s="200"/>
      <c r="AZ54" s="200"/>
      <c r="BA54" s="200"/>
      <c r="BB54" s="200"/>
      <c r="BC54" s="200"/>
      <c r="BD54" s="200"/>
    </row>
    <row r="55" spans="12:56" ht="57" hidden="1">
      <c r="L55" s="255" t="s">
        <v>32</v>
      </c>
      <c r="M55" s="220" t="str">
        <f>"流通道包间隔 
范围:0"&amp;"-"&amp;U50</f>
        <v>流通道包间隔 
范围:0-4905736</v>
      </c>
      <c r="N55" s="254">
        <v>0</v>
      </c>
      <c r="O55" s="236">
        <f>B17</f>
        <v>0</v>
      </c>
      <c r="P55" s="237" t="s">
        <v>106</v>
      </c>
      <c r="Q55" s="200"/>
      <c r="R55" s="288" t="s">
        <v>283</v>
      </c>
      <c r="S55" s="289" t="s">
        <v>284</v>
      </c>
      <c r="T55" s="223" t="s">
        <v>676</v>
      </c>
      <c r="U55" s="299" t="str">
        <f>IF((O39=1)*(O32="TriggerWidth"),IF(O37&gt;O36,(ROUNDUP((1000*O37/U28),0)*U28+AA35)/1000,(ROUNDUP((1000*O36/U28),0)*U28+AA35)/1000),"null")</f>
        <v>null</v>
      </c>
      <c r="V55" s="291" t="s">
        <v>117</v>
      </c>
      <c r="W55" s="200"/>
      <c r="X55" s="211" t="s">
        <v>288</v>
      </c>
      <c r="Y55" s="251" t="s">
        <v>289</v>
      </c>
      <c r="Z55" s="212" t="s">
        <v>290</v>
      </c>
      <c r="AA55" s="311">
        <f>36</f>
        <v>36</v>
      </c>
      <c r="AB55" s="312" t="s">
        <v>201</v>
      </c>
      <c r="AC55" s="200"/>
      <c r="AD55" s="327" t="s">
        <v>677</v>
      </c>
      <c r="AE55" s="251" t="s">
        <v>678</v>
      </c>
      <c r="AF55" s="328" t="s">
        <v>679</v>
      </c>
      <c r="AG55" s="227" t="s">
        <v>680</v>
      </c>
      <c r="AH55" s="340" t="str">
        <f>"0x"&amp;DEC2HEX(U56)</f>
        <v>0x1</v>
      </c>
      <c r="AI55" s="341"/>
      <c r="AJ55" s="200"/>
      <c r="AK55" s="200"/>
      <c r="AL55" s="200"/>
      <c r="AM55" s="200"/>
      <c r="AN55" s="200"/>
      <c r="AO55" s="200"/>
      <c r="AP55" s="200"/>
      <c r="AQ55" s="200"/>
      <c r="AR55" s="200"/>
      <c r="AS55" s="200"/>
      <c r="AT55" s="200"/>
      <c r="AU55" s="200"/>
      <c r="AV55" s="200"/>
      <c r="AW55" s="200"/>
      <c r="AX55" s="200"/>
      <c r="AY55" s="200"/>
      <c r="AZ55" s="200"/>
      <c r="BA55" s="200"/>
      <c r="BB55" s="200"/>
      <c r="BC55" s="200"/>
      <c r="BD55" s="200"/>
    </row>
    <row r="56" spans="12:56" ht="66" hidden="1" customHeight="1">
      <c r="L56" s="256" t="s">
        <v>30</v>
      </c>
      <c r="M56" s="223" t="str">
        <f>"预留带宽 
范围:0-"&amp;U52</f>
        <v>预留带宽 
范围:0-99</v>
      </c>
      <c r="N56" s="257">
        <v>2</v>
      </c>
      <c r="O56" s="239">
        <f>B15</f>
        <v>2</v>
      </c>
      <c r="P56" s="219" t="s">
        <v>259</v>
      </c>
      <c r="Q56" s="200"/>
      <c r="R56" s="288" t="s">
        <v>681</v>
      </c>
      <c r="S56" s="289" t="s">
        <v>559</v>
      </c>
      <c r="T56" s="223" t="s">
        <v>560</v>
      </c>
      <c r="U56" s="299">
        <f>MAX(INT(O36*1000/U28),1)</f>
        <v>1</v>
      </c>
      <c r="V56" s="300" t="s">
        <v>140</v>
      </c>
      <c r="W56" s="200"/>
      <c r="X56" s="264" t="s">
        <v>294</v>
      </c>
      <c r="Y56" s="220" t="s">
        <v>295</v>
      </c>
      <c r="Z56" s="227" t="s">
        <v>296</v>
      </c>
      <c r="AA56" s="321">
        <v>10</v>
      </c>
      <c r="AB56" s="317" t="s">
        <v>201</v>
      </c>
      <c r="AC56" s="200"/>
      <c r="AD56" s="327" t="s">
        <v>682</v>
      </c>
      <c r="AE56" s="251" t="s">
        <v>683</v>
      </c>
      <c r="AF56" s="328" t="s">
        <v>684</v>
      </c>
      <c r="AG56" s="220" t="s">
        <v>685</v>
      </c>
      <c r="AH56" s="340" t="str">
        <f>"0x"&amp;DEC2HEX(IF(O34&lt;=AA35/1000,1,U37))</f>
        <v>0x678</v>
      </c>
      <c r="AI56" s="341"/>
      <c r="AJ56" s="200"/>
      <c r="AK56" s="200"/>
      <c r="AL56" s="200"/>
      <c r="AM56" s="200"/>
      <c r="AN56" s="200"/>
      <c r="AO56" s="200"/>
      <c r="AP56" s="200"/>
      <c r="AQ56" s="200"/>
      <c r="AR56" s="200"/>
      <c r="AS56" s="200"/>
      <c r="AT56" s="200"/>
      <c r="AU56" s="200"/>
      <c r="AV56" s="200"/>
      <c r="AW56" s="200"/>
      <c r="AX56" s="200"/>
      <c r="AY56" s="200"/>
      <c r="AZ56" s="200"/>
      <c r="BA56" s="200"/>
      <c r="BB56" s="200"/>
      <c r="BC56" s="200"/>
      <c r="BD56" s="200"/>
    </row>
    <row r="57" spans="12:56" ht="99.75" hidden="1">
      <c r="L57" s="1214" t="s">
        <v>293</v>
      </c>
      <c r="M57" s="1215"/>
      <c r="N57" s="1215"/>
      <c r="O57" s="1215"/>
      <c r="P57" s="1216"/>
      <c r="Q57" s="200"/>
      <c r="R57" s="301" t="s">
        <v>686</v>
      </c>
      <c r="S57" s="302"/>
      <c r="T57" s="303" t="s">
        <v>686</v>
      </c>
      <c r="U57" s="303"/>
      <c r="V57" s="304"/>
      <c r="W57" s="200"/>
      <c r="X57" s="305" t="s">
        <v>301</v>
      </c>
      <c r="Y57" s="329" t="s">
        <v>302</v>
      </c>
      <c r="Z57" s="329" t="s">
        <v>303</v>
      </c>
      <c r="AA57" s="265">
        <v>60</v>
      </c>
      <c r="AB57" s="282" t="s">
        <v>201</v>
      </c>
      <c r="AC57" s="200"/>
      <c r="AD57" s="327" t="s">
        <v>687</v>
      </c>
      <c r="AE57" s="251" t="s">
        <v>688</v>
      </c>
      <c r="AF57" s="328" t="s">
        <v>689</v>
      </c>
      <c r="AG57" s="227" t="s">
        <v>548</v>
      </c>
      <c r="AH57" s="340" t="str">
        <f>IF(O34&gt;AA36,"0x"&amp;DEC2HEX(MAX(U32,U33,U34,U35)),"0x"&amp;DEC2HEX(MAX(U32,U33+1,U34,U35)))</f>
        <v>0xC70</v>
      </c>
      <c r="AI57" s="341"/>
      <c r="AJ57" s="200"/>
      <c r="AK57" s="200"/>
      <c r="AL57" s="200"/>
      <c r="AM57" s="200"/>
      <c r="AN57" s="200"/>
      <c r="AO57" s="200"/>
      <c r="AP57" s="200"/>
      <c r="AQ57" s="200"/>
      <c r="AR57" s="200"/>
      <c r="AS57" s="200"/>
      <c r="AT57" s="200"/>
      <c r="AU57" s="200"/>
      <c r="AV57" s="200"/>
      <c r="AW57" s="200"/>
      <c r="AX57" s="200"/>
      <c r="AY57" s="200"/>
      <c r="AZ57" s="200"/>
      <c r="BA57" s="200"/>
      <c r="BB57" s="200"/>
      <c r="BC57" s="200"/>
      <c r="BD57" s="200"/>
    </row>
    <row r="58" spans="12:56" ht="68.099999999999994" hidden="1" customHeight="1">
      <c r="L58" s="211" t="s">
        <v>300</v>
      </c>
      <c r="M58" s="212" t="s">
        <v>299</v>
      </c>
      <c r="N58" s="212">
        <v>0</v>
      </c>
      <c r="O58" s="215">
        <f>B13</f>
        <v>0</v>
      </c>
      <c r="P58" s="234" t="s">
        <v>122</v>
      </c>
      <c r="Q58" s="200"/>
      <c r="R58" s="275" t="s">
        <v>584</v>
      </c>
      <c r="S58" s="275" t="s">
        <v>585</v>
      </c>
      <c r="T58" s="275" t="s">
        <v>690</v>
      </c>
      <c r="U58" s="275" t="str">
        <f>IF(O33="Standard","null",U32+U39+U37+ROUNDUP(AA35/1000,0))</f>
        <v>null</v>
      </c>
      <c r="V58" s="275" t="s">
        <v>117</v>
      </c>
      <c r="W58" s="200"/>
      <c r="X58" s="235" t="s">
        <v>307</v>
      </c>
      <c r="Y58" s="220" t="s">
        <v>308</v>
      </c>
      <c r="Z58" s="220" t="s">
        <v>309</v>
      </c>
      <c r="AA58" s="265">
        <f>O46*O47*IF(O30=8,1,2)</f>
        <v>16197120</v>
      </c>
      <c r="AB58" s="317" t="s">
        <v>201</v>
      </c>
      <c r="AC58" s="200"/>
      <c r="AD58" s="330" t="s">
        <v>691</v>
      </c>
      <c r="AE58" s="251" t="s">
        <v>692</v>
      </c>
      <c r="AF58" s="328" t="s">
        <v>693</v>
      </c>
      <c r="AG58" s="227" t="s">
        <v>548</v>
      </c>
      <c r="AH58" s="342" t="str">
        <f>"0x"&amp;IF(O39=0,DEC2HEX(MAX(U32,U33,U35)),DEC2HEX(MAX(U32,U33)))</f>
        <v>0xC70</v>
      </c>
      <c r="AI58" s="341"/>
      <c r="AJ58" s="200"/>
      <c r="AK58" s="200"/>
      <c r="AL58" s="200"/>
      <c r="AM58" s="200"/>
      <c r="AN58" s="200"/>
      <c r="AO58" s="200"/>
      <c r="AP58" s="200"/>
      <c r="AQ58" s="200"/>
      <c r="AR58" s="200"/>
      <c r="AS58" s="200"/>
      <c r="AT58" s="200"/>
      <c r="AU58" s="200"/>
      <c r="AV58" s="200"/>
      <c r="AW58" s="200"/>
      <c r="AX58" s="200"/>
      <c r="AY58" s="200"/>
      <c r="AZ58" s="200"/>
      <c r="BA58" s="200"/>
      <c r="BB58" s="200"/>
      <c r="BC58" s="200"/>
      <c r="BD58" s="200"/>
    </row>
    <row r="59" spans="12:56" ht="71.25" hidden="1">
      <c r="L59" s="216" t="s">
        <v>306</v>
      </c>
      <c r="M59" s="217" t="s">
        <v>293</v>
      </c>
      <c r="N59" s="217">
        <f>VLOOKUP($N$25,$AD$27:$BB$44,22,FALSE)</f>
        <v>52</v>
      </c>
      <c r="O59" s="218">
        <f>B14</f>
        <v>52</v>
      </c>
      <c r="P59" s="258" t="s">
        <v>125</v>
      </c>
      <c r="Q59" s="200"/>
      <c r="R59" s="301" t="s">
        <v>694</v>
      </c>
      <c r="S59" s="302"/>
      <c r="T59" s="303" t="s">
        <v>694</v>
      </c>
      <c r="U59" s="303"/>
      <c r="V59" s="304"/>
      <c r="W59" s="200"/>
      <c r="X59" s="264" t="s">
        <v>314</v>
      </c>
      <c r="Y59" s="220" t="s">
        <v>315</v>
      </c>
      <c r="Z59" s="220" t="s">
        <v>316</v>
      </c>
      <c r="AA59" s="321">
        <f>AA58+AA57*O49</f>
        <v>16197120</v>
      </c>
      <c r="AB59" s="317" t="s">
        <v>201</v>
      </c>
      <c r="AC59" s="200"/>
      <c r="AD59" s="330" t="s">
        <v>695</v>
      </c>
      <c r="AE59" s="251" t="s">
        <v>696</v>
      </c>
      <c r="AF59" s="328" t="s">
        <v>697</v>
      </c>
      <c r="AG59" s="227" t="s">
        <v>548</v>
      </c>
      <c r="AH59" s="342" t="str">
        <f>"0x"&amp;IF(O32="TriggerWidth",DEC2HEX(MAX(U32,U34)),IF(O40=0,DEC2HEX(MAX(U32,U33,IF(O51=1,0,U34))),DEC2HEX(MAX(U32,U33,IF(O51=1,0,U34),U35))))</f>
        <v>0xC70</v>
      </c>
      <c r="AI59" s="341"/>
      <c r="AJ59" s="200"/>
      <c r="AK59" s="200"/>
      <c r="AL59" s="200"/>
      <c r="AM59" s="200"/>
      <c r="AN59" s="200"/>
      <c r="AO59" s="200"/>
      <c r="AP59" s="200"/>
      <c r="AQ59" s="200"/>
      <c r="AR59" s="200"/>
      <c r="AS59" s="200"/>
      <c r="AT59" s="200"/>
      <c r="AU59" s="200"/>
      <c r="AV59" s="200"/>
      <c r="AW59" s="200"/>
      <c r="AX59" s="200"/>
      <c r="AY59" s="200"/>
      <c r="AZ59" s="200"/>
      <c r="BA59" s="200"/>
      <c r="BB59" s="200"/>
      <c r="BC59" s="200"/>
      <c r="BD59" s="200"/>
    </row>
    <row r="60" spans="12:56" ht="129.94999999999999" hidden="1" customHeight="1">
      <c r="L60" s="1214" t="s">
        <v>698</v>
      </c>
      <c r="M60" s="1215"/>
      <c r="N60" s="1215"/>
      <c r="O60" s="1215"/>
      <c r="P60" s="1216"/>
      <c r="Q60" s="200"/>
      <c r="R60" s="272" t="s">
        <v>587</v>
      </c>
      <c r="S60" s="272" t="s">
        <v>588</v>
      </c>
      <c r="T60" s="272" t="s">
        <v>699</v>
      </c>
      <c r="U60" s="272">
        <f>IF(OR(O34&gt;AA36,O61=2,O62=2),U37+IF(O51=1,0,U39)+AA34,U32+U37+IF(O51=1,0,U39)+2)</f>
        <v>1690</v>
      </c>
      <c r="V60" s="272" t="s">
        <v>140</v>
      </c>
      <c r="W60" s="200"/>
      <c r="X60" s="264" t="s">
        <v>322</v>
      </c>
      <c r="Y60" s="220" t="s">
        <v>323</v>
      </c>
      <c r="Z60" s="227" t="s">
        <v>324</v>
      </c>
      <c r="AA60" s="331">
        <f>INT(AA59/(O54-AA50))</f>
        <v>1992</v>
      </c>
      <c r="AB60" s="317" t="s">
        <v>421</v>
      </c>
      <c r="AC60" s="200"/>
      <c r="AD60" s="330" t="s">
        <v>700</v>
      </c>
      <c r="AE60" s="251" t="s">
        <v>701</v>
      </c>
      <c r="AF60" s="328" t="s">
        <v>702</v>
      </c>
      <c r="AG60" s="220" t="s">
        <v>548</v>
      </c>
      <c r="AH60" s="340" t="str">
        <f>"0x"&amp;IF((O39=1)*(O32="TriggerWidth"),1,0)</f>
        <v>0x0</v>
      </c>
      <c r="AI60" s="341"/>
      <c r="AJ60" s="200"/>
      <c r="AK60" s="200"/>
      <c r="AL60" s="200"/>
      <c r="AM60" s="200"/>
      <c r="AN60" s="200"/>
      <c r="AO60" s="200"/>
      <c r="AP60" s="200"/>
      <c r="AQ60" s="200"/>
      <c r="AR60" s="200"/>
      <c r="AS60" s="200"/>
      <c r="AT60" s="200"/>
      <c r="AU60" s="200"/>
      <c r="AV60" s="200"/>
      <c r="AW60" s="200"/>
      <c r="AX60" s="200"/>
      <c r="AY60" s="200"/>
      <c r="AZ60" s="200"/>
      <c r="BA60" s="200"/>
      <c r="BB60" s="200"/>
      <c r="BC60" s="200"/>
      <c r="BD60" s="200"/>
    </row>
    <row r="61" spans="12:56" ht="142.5" hidden="1">
      <c r="L61" s="211" t="s">
        <v>321</v>
      </c>
      <c r="M61" s="212" t="s">
        <v>320</v>
      </c>
      <c r="N61" s="212">
        <v>1</v>
      </c>
      <c r="O61" s="215">
        <f>B7</f>
        <v>1</v>
      </c>
      <c r="P61" s="234" t="s">
        <v>122</v>
      </c>
      <c r="Q61" s="200"/>
      <c r="R61" s="200"/>
      <c r="S61" s="200"/>
      <c r="T61" s="200"/>
      <c r="U61" s="200"/>
      <c r="V61" s="200"/>
      <c r="W61" s="200"/>
      <c r="X61" s="264" t="s">
        <v>330</v>
      </c>
      <c r="Y61" s="220" t="s">
        <v>331</v>
      </c>
      <c r="Z61" s="227" t="s">
        <v>332</v>
      </c>
      <c r="AA61" s="331">
        <f>AA59-(O54-AA50)*AA60</f>
        <v>6144</v>
      </c>
      <c r="AB61" s="317" t="s">
        <v>201</v>
      </c>
      <c r="AC61" s="200"/>
      <c r="AD61" s="330" t="s">
        <v>325</v>
      </c>
      <c r="AE61" s="220" t="s">
        <v>703</v>
      </c>
      <c r="AF61" s="220" t="s">
        <v>704</v>
      </c>
      <c r="AG61" s="220" t="s">
        <v>705</v>
      </c>
      <c r="AH61" s="342" t="str">
        <f>"0x"&amp;DEC2HEX(AA32/37.5*VLOOKUP($N$25,$AD$27:$AX$44,4,FALSE)-(VLOOKUP($N$25,$AD$27:$AX$44,9,FALSE)/VLOOKUP($N$25,$AD$27:$AX$44,5,FALSE)/VLOOKUP($N$25,$AD$27:$AX$44,6,FALSE)))</f>
        <v>0x2C6</v>
      </c>
      <c r="AI61" s="343"/>
      <c r="AJ61" s="200"/>
      <c r="AK61" s="200"/>
      <c r="AL61" s="200"/>
      <c r="AM61" s="200"/>
      <c r="AN61" s="200"/>
      <c r="AO61" s="200"/>
      <c r="AP61" s="200"/>
      <c r="AQ61" s="200"/>
      <c r="AR61" s="200"/>
      <c r="AS61" s="200"/>
      <c r="AT61" s="200"/>
      <c r="AU61" s="200"/>
      <c r="AV61" s="200"/>
      <c r="AW61" s="200"/>
      <c r="AX61" s="200"/>
      <c r="AY61" s="200"/>
      <c r="AZ61" s="200"/>
      <c r="BA61" s="200"/>
      <c r="BB61" s="200"/>
      <c r="BC61" s="200"/>
      <c r="BD61" s="200"/>
    </row>
    <row r="62" spans="12:56" ht="57" hidden="1">
      <c r="L62" s="216" t="s">
        <v>329</v>
      </c>
      <c r="M62" s="217" t="s">
        <v>328</v>
      </c>
      <c r="N62" s="217">
        <v>1</v>
      </c>
      <c r="O62" s="218">
        <f>B8</f>
        <v>1</v>
      </c>
      <c r="P62" s="258" t="s">
        <v>122</v>
      </c>
      <c r="Q62" s="200"/>
      <c r="R62" s="200"/>
      <c r="S62" s="200"/>
      <c r="T62" s="200"/>
      <c r="U62" s="200"/>
      <c r="V62" s="200"/>
      <c r="W62" s="200"/>
      <c r="X62" s="264" t="s">
        <v>339</v>
      </c>
      <c r="Y62" s="220" t="s">
        <v>340</v>
      </c>
      <c r="Z62" s="227" t="s">
        <v>341</v>
      </c>
      <c r="AA62" s="321">
        <f>IF(MOD(AA58,(O54-AA50))=0,0,1)</f>
        <v>1</v>
      </c>
      <c r="AB62" s="317" t="s">
        <v>421</v>
      </c>
      <c r="AC62" s="200"/>
      <c r="AD62" s="330" t="s">
        <v>317</v>
      </c>
      <c r="AE62" s="220" t="str">
        <f>IF(OR(N28="A7",N28="KU3P"),"0x01100000","0x77601500")</f>
        <v>0x77601500</v>
      </c>
      <c r="AF62" s="328" t="s">
        <v>318</v>
      </c>
      <c r="AG62" s="220" t="s">
        <v>122</v>
      </c>
      <c r="AH62" s="340" t="s">
        <v>319</v>
      </c>
      <c r="AI62" s="344"/>
      <c r="AJ62" s="200"/>
      <c r="AK62" s="200"/>
      <c r="AL62" s="200"/>
      <c r="AM62" s="200"/>
      <c r="AN62" s="200"/>
      <c r="AO62" s="200"/>
      <c r="AP62" s="200"/>
      <c r="AQ62" s="200"/>
      <c r="AR62" s="200"/>
      <c r="AS62" s="200"/>
      <c r="AT62" s="200"/>
      <c r="AU62" s="200"/>
      <c r="AV62" s="200"/>
      <c r="AW62" s="200"/>
      <c r="AX62" s="200"/>
      <c r="AY62" s="200"/>
      <c r="AZ62" s="200"/>
      <c r="BA62" s="200"/>
      <c r="BB62" s="200"/>
      <c r="BC62" s="200"/>
      <c r="BD62" s="200"/>
    </row>
    <row r="63" spans="12:56" ht="21" hidden="1" customHeight="1">
      <c r="L63" s="1214" t="s">
        <v>706</v>
      </c>
      <c r="M63" s="1215"/>
      <c r="N63" s="1215"/>
      <c r="O63" s="1215"/>
      <c r="P63" s="1216"/>
      <c r="Q63" s="200"/>
      <c r="R63" s="200" t="s">
        <v>414</v>
      </c>
      <c r="S63" s="200">
        <f>N46*8*IF(O30=8,1,2)/U28/(IF(O61=2,2,1))</f>
        <v>7.0592911560119243</v>
      </c>
      <c r="T63" s="200"/>
      <c r="U63" s="200"/>
      <c r="V63" s="200"/>
      <c r="W63" s="200"/>
      <c r="X63" s="264" t="s">
        <v>349</v>
      </c>
      <c r="Y63" s="220" t="s">
        <v>350</v>
      </c>
      <c r="Z63" s="227" t="s">
        <v>351</v>
      </c>
      <c r="AA63" s="331">
        <f>IF(AA61&lt;AA52,AA52,AA61)</f>
        <v>6144</v>
      </c>
      <c r="AB63" s="317" t="s">
        <v>201</v>
      </c>
      <c r="AC63" s="200"/>
      <c r="AD63" s="332" t="s">
        <v>333</v>
      </c>
      <c r="AE63" s="225" t="s">
        <v>335</v>
      </c>
      <c r="AF63" s="225" t="s">
        <v>334</v>
      </c>
      <c r="AG63" s="225" t="s">
        <v>336</v>
      </c>
      <c r="AH63" s="345" t="str">
        <f>"0x"&amp;DEC2HEX(O54-AA50)</f>
        <v>0x1FC0</v>
      </c>
      <c r="AI63" s="346" t="s">
        <v>337</v>
      </c>
      <c r="AJ63" s="200"/>
      <c r="AK63" s="200"/>
      <c r="AL63" s="200"/>
      <c r="AM63" s="200"/>
      <c r="AN63" s="200"/>
      <c r="AO63" s="200"/>
      <c r="AP63" s="200"/>
      <c r="AQ63" s="200"/>
      <c r="AR63" s="200"/>
      <c r="AS63" s="200"/>
      <c r="AT63" s="200"/>
      <c r="AU63" s="200"/>
      <c r="AV63" s="200"/>
      <c r="AW63" s="200"/>
      <c r="AX63" s="200"/>
      <c r="AY63" s="200"/>
      <c r="AZ63" s="200"/>
      <c r="BA63" s="200"/>
      <c r="BB63" s="200"/>
      <c r="BC63" s="200"/>
      <c r="BD63" s="200"/>
    </row>
    <row r="64" spans="12:56" ht="85.5" hidden="1">
      <c r="L64" s="211" t="s">
        <v>348</v>
      </c>
      <c r="M64" s="212" t="s">
        <v>347</v>
      </c>
      <c r="N64" s="212">
        <v>1</v>
      </c>
      <c r="O64" s="215">
        <f>B6</f>
        <v>1</v>
      </c>
      <c r="P64" s="234" t="s">
        <v>122</v>
      </c>
      <c r="Q64" s="200"/>
      <c r="R64" s="200" t="s">
        <v>707</v>
      </c>
      <c r="S64" s="200">
        <f>U44*8/1000/1000/1000</f>
        <v>6.7914428088426524</v>
      </c>
      <c r="T64" s="200"/>
      <c r="U64" s="200"/>
      <c r="V64" s="200"/>
      <c r="W64" s="200"/>
      <c r="X64" s="264" t="s">
        <v>358</v>
      </c>
      <c r="Y64" s="220" t="s">
        <v>359</v>
      </c>
      <c r="Z64" s="227" t="s">
        <v>360</v>
      </c>
      <c r="AA64" s="331">
        <f>AA51+AA50+AA55</f>
        <v>98</v>
      </c>
      <c r="AB64" s="317" t="s">
        <v>201</v>
      </c>
      <c r="AC64" s="200"/>
      <c r="AD64" s="330" t="s">
        <v>342</v>
      </c>
      <c r="AE64" s="220" t="s">
        <v>344</v>
      </c>
      <c r="AF64" s="220" t="s">
        <v>343</v>
      </c>
      <c r="AG64" s="220" t="s">
        <v>345</v>
      </c>
      <c r="AH64" s="220" t="str">
        <f>"0x"&amp;DEC2HEX(U48)</f>
        <v>0x0</v>
      </c>
      <c r="AI64" s="1269" t="s">
        <v>346</v>
      </c>
      <c r="AJ64" s="200"/>
      <c r="AK64" s="200"/>
      <c r="AL64" s="200"/>
      <c r="AM64" s="200"/>
      <c r="AN64" s="200"/>
      <c r="AO64" s="200"/>
      <c r="AP64" s="200"/>
      <c r="AQ64" s="200"/>
      <c r="AR64" s="200"/>
      <c r="AS64" s="200"/>
      <c r="AT64" s="200"/>
      <c r="AU64" s="200"/>
      <c r="AV64" s="200"/>
      <c r="AW64" s="200"/>
      <c r="AX64" s="200"/>
      <c r="AY64" s="200"/>
      <c r="AZ64" s="200"/>
      <c r="BA64" s="200"/>
      <c r="BB64" s="200"/>
      <c r="BC64" s="200"/>
      <c r="BD64" s="200"/>
    </row>
    <row r="65" spans="12:56" ht="85.5" hidden="1">
      <c r="L65" s="216" t="s">
        <v>357</v>
      </c>
      <c r="M65" s="217" t="s">
        <v>356</v>
      </c>
      <c r="N65" s="217">
        <v>1</v>
      </c>
      <c r="O65" s="218">
        <v>1</v>
      </c>
      <c r="P65" s="258" t="s">
        <v>122</v>
      </c>
      <c r="Q65" s="200"/>
      <c r="R65" s="259" t="s">
        <v>415</v>
      </c>
      <c r="S65" s="259">
        <f>T65-S64</f>
        <v>12.152557191157346</v>
      </c>
      <c r="T65" s="200">
        <f>25.6*0.74</f>
        <v>18.943999999999999</v>
      </c>
      <c r="U65" s="200"/>
      <c r="V65" s="200"/>
      <c r="W65" s="200"/>
      <c r="X65" s="264" t="s">
        <v>366</v>
      </c>
      <c r="Y65" s="220" t="s">
        <v>367</v>
      </c>
      <c r="Z65" s="227" t="s">
        <v>368</v>
      </c>
      <c r="AA65" s="331">
        <f>AA51+AA50+AA56</f>
        <v>72</v>
      </c>
      <c r="AB65" s="317" t="s">
        <v>201</v>
      </c>
      <c r="AC65" s="200"/>
      <c r="AD65" s="386" t="s">
        <v>352</v>
      </c>
      <c r="AE65" s="223" t="s">
        <v>354</v>
      </c>
      <c r="AF65" s="223" t="s">
        <v>353</v>
      </c>
      <c r="AG65" s="223" t="s">
        <v>355</v>
      </c>
      <c r="AH65" s="223" t="str">
        <f>"0x"&amp;DEC2HEX(U47)</f>
        <v>0x0</v>
      </c>
      <c r="AI65" s="1270"/>
      <c r="AJ65" s="200"/>
      <c r="AK65" s="200"/>
      <c r="AL65" s="200"/>
      <c r="AM65" s="200"/>
      <c r="AN65" s="200"/>
      <c r="AO65" s="200"/>
      <c r="AP65" s="200"/>
      <c r="AQ65" s="200"/>
      <c r="AR65" s="200"/>
      <c r="AS65" s="200"/>
      <c r="AT65" s="200"/>
      <c r="AU65" s="200"/>
      <c r="AV65" s="200"/>
      <c r="AW65" s="200"/>
      <c r="AX65" s="200"/>
      <c r="AY65" s="200"/>
      <c r="AZ65" s="200"/>
      <c r="BA65" s="200"/>
      <c r="BB65" s="200"/>
      <c r="BC65" s="200"/>
      <c r="BD65" s="200"/>
    </row>
    <row r="66" spans="12:56" ht="57.95" hidden="1" customHeight="1">
      <c r="L66" s="1273" t="s">
        <v>365</v>
      </c>
      <c r="M66" s="1274"/>
      <c r="N66" s="1274"/>
      <c r="O66" s="1274"/>
      <c r="P66" s="1275"/>
      <c r="Q66" s="200"/>
      <c r="R66" s="259" t="s">
        <v>417</v>
      </c>
      <c r="S66" s="320">
        <f>S65-S63</f>
        <v>5.0932660351454215</v>
      </c>
      <c r="T66" s="259" t="s">
        <v>418</v>
      </c>
      <c r="U66" s="200"/>
      <c r="V66" s="200"/>
      <c r="W66" s="200"/>
      <c r="X66" s="264" t="s">
        <v>374</v>
      </c>
      <c r="Y66" s="220" t="s">
        <v>375</v>
      </c>
      <c r="Z66" s="227" t="s">
        <v>376</v>
      </c>
      <c r="AA66" s="331">
        <f>AA60*(O54+AA51)+AA62*(AA63+AA51+AA50)</f>
        <v>16320686</v>
      </c>
      <c r="AB66" s="317" t="s">
        <v>201</v>
      </c>
      <c r="AC66" s="200"/>
      <c r="AD66" s="387" t="s">
        <v>708</v>
      </c>
      <c r="AE66" s="388" t="s">
        <v>709</v>
      </c>
      <c r="AF66" s="389" t="s">
        <v>710</v>
      </c>
      <c r="AG66" s="392" t="s">
        <v>711</v>
      </c>
      <c r="AH66" s="393" t="str">
        <f>"0x"&amp;DEC2HEX(U38)</f>
        <v>0x0</v>
      </c>
      <c r="AI66" s="341"/>
      <c r="AJ66" s="200"/>
      <c r="AK66" s="200"/>
      <c r="AL66" s="200"/>
      <c r="AM66" s="200"/>
      <c r="AN66" s="200"/>
      <c r="AO66" s="200"/>
      <c r="AP66" s="200"/>
      <c r="AQ66" s="200"/>
      <c r="AR66" s="200"/>
      <c r="AS66" s="200"/>
      <c r="AT66" s="200"/>
      <c r="AU66" s="200"/>
      <c r="AV66" s="200"/>
      <c r="AW66" s="200"/>
      <c r="AX66" s="200"/>
      <c r="AY66" s="200"/>
      <c r="AZ66" s="200"/>
      <c r="BA66" s="200"/>
      <c r="BB66" s="200"/>
      <c r="BC66" s="200"/>
      <c r="BD66" s="200"/>
    </row>
    <row r="67" spans="12:56" ht="53.1" hidden="1" customHeight="1">
      <c r="L67" s="374" t="s">
        <v>58</v>
      </c>
      <c r="M67" s="375" t="s">
        <v>373</v>
      </c>
      <c r="N67" s="375"/>
      <c r="O67" s="376">
        <f>U30</f>
        <v>52.015604681404419</v>
      </c>
      <c r="P67" s="377"/>
      <c r="Q67" s="200"/>
      <c r="R67" s="259" t="s">
        <v>419</v>
      </c>
      <c r="S67" s="259">
        <f>S63-S64</f>
        <v>0.26784834716927186</v>
      </c>
      <c r="T67" s="259" t="s">
        <v>420</v>
      </c>
      <c r="U67" s="200"/>
      <c r="V67" s="200"/>
      <c r="W67" s="200"/>
      <c r="X67" s="235" t="s">
        <v>377</v>
      </c>
      <c r="Y67" s="220" t="s">
        <v>378</v>
      </c>
      <c r="Z67" s="220" t="s">
        <v>379</v>
      </c>
      <c r="AA67" s="390">
        <f>(2+AA62+AA60)*AA72</f>
        <v>39900</v>
      </c>
      <c r="AB67" s="282" t="s">
        <v>201</v>
      </c>
      <c r="AC67" s="200"/>
      <c r="AD67" s="200"/>
      <c r="AE67" s="200"/>
      <c r="AF67" s="200"/>
      <c r="AG67" s="200"/>
      <c r="AH67" s="200"/>
      <c r="AI67" s="200"/>
      <c r="AJ67" s="200"/>
      <c r="AK67" s="200"/>
      <c r="AL67" s="200"/>
      <c r="AM67" s="200"/>
      <c r="AN67" s="200"/>
      <c r="AO67" s="200"/>
      <c r="AP67" s="200"/>
      <c r="AQ67" s="200"/>
      <c r="AR67" s="200"/>
      <c r="AS67" s="200"/>
      <c r="AT67" s="200"/>
      <c r="AU67" s="200"/>
      <c r="AV67" s="200"/>
      <c r="AW67" s="200"/>
      <c r="AX67" s="200"/>
      <c r="AY67" s="200"/>
      <c r="AZ67" s="200"/>
      <c r="BA67" s="200"/>
      <c r="BB67" s="200"/>
      <c r="BC67" s="200"/>
      <c r="BD67" s="200"/>
    </row>
    <row r="68" spans="12:56" ht="114" hidden="1">
      <c r="L68" s="200"/>
      <c r="M68" s="200"/>
      <c r="N68" s="200"/>
      <c r="O68" s="200"/>
      <c r="P68" s="200"/>
      <c r="Q68" s="200"/>
      <c r="R68" s="259"/>
      <c r="S68" s="259"/>
      <c r="T68" s="259"/>
      <c r="U68" s="200"/>
      <c r="V68" s="200"/>
      <c r="W68" s="200"/>
      <c r="X68" s="235" t="s">
        <v>380</v>
      </c>
      <c r="Y68" s="220" t="s">
        <v>381</v>
      </c>
      <c r="Z68" s="220" t="s">
        <v>382</v>
      </c>
      <c r="AA68" s="265">
        <f>AA64+AA65+AA66+AA67</f>
        <v>16360756</v>
      </c>
      <c r="AB68" s="282" t="s">
        <v>201</v>
      </c>
      <c r="AC68" s="200"/>
      <c r="AD68" s="200"/>
      <c r="AE68" s="200"/>
      <c r="AF68" s="336"/>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row>
    <row r="69" spans="12:56" ht="85.5" hidden="1">
      <c r="L69" s="200"/>
      <c r="M69" s="200"/>
      <c r="N69" s="200"/>
      <c r="O69" s="200"/>
      <c r="P69" s="200"/>
      <c r="Q69" s="200"/>
      <c r="R69" s="259"/>
      <c r="S69" s="259"/>
      <c r="T69" s="259"/>
      <c r="U69" s="200"/>
      <c r="V69" s="200"/>
      <c r="W69" s="200"/>
      <c r="X69" s="235" t="s">
        <v>383</v>
      </c>
      <c r="Y69" s="220" t="s">
        <v>384</v>
      </c>
      <c r="Z69" s="220" t="s">
        <v>385</v>
      </c>
      <c r="AA69" s="265">
        <f>INT(1000000*O53*(100-O56)/80)</f>
        <v>12250000000</v>
      </c>
      <c r="AB69" s="282" t="s">
        <v>386</v>
      </c>
      <c r="AC69" s="200"/>
      <c r="AD69" s="200"/>
      <c r="AE69" s="200"/>
      <c r="AF69" s="336"/>
      <c r="AG69" s="200"/>
      <c r="AH69" s="200"/>
      <c r="AI69" s="200"/>
      <c r="AJ69" s="200"/>
      <c r="AK69" s="200"/>
      <c r="AL69" s="200"/>
      <c r="AM69" s="200"/>
      <c r="AN69" s="200"/>
      <c r="AO69" s="200"/>
      <c r="AP69" s="200"/>
      <c r="AQ69" s="200"/>
      <c r="AR69" s="200"/>
      <c r="AS69" s="200"/>
      <c r="AT69" s="200"/>
      <c r="AU69" s="200"/>
      <c r="AV69" s="200"/>
      <c r="AW69" s="200"/>
      <c r="AX69" s="200"/>
      <c r="AY69" s="200"/>
      <c r="AZ69" s="200"/>
      <c r="BA69" s="200"/>
      <c r="BB69" s="200"/>
      <c r="BC69" s="200"/>
      <c r="BD69" s="200"/>
    </row>
    <row r="70" spans="12:56" ht="99.75" hidden="1">
      <c r="L70" s="200"/>
      <c r="M70" s="200"/>
      <c r="N70" s="200"/>
      <c r="O70" s="200"/>
      <c r="P70" s="200"/>
      <c r="Q70" s="200"/>
      <c r="R70" s="200"/>
      <c r="S70" s="200"/>
      <c r="T70" s="200"/>
      <c r="U70" s="200"/>
      <c r="V70" s="200"/>
      <c r="W70" s="200"/>
      <c r="X70" s="238" t="s">
        <v>387</v>
      </c>
      <c r="Y70" s="225" t="s">
        <v>388</v>
      </c>
      <c r="Z70" s="225" t="s">
        <v>389</v>
      </c>
      <c r="AA70" s="277">
        <f>ROUNDUP(AA68*1000000/AA69,0)*10</f>
        <v>13360</v>
      </c>
      <c r="AB70" s="219" t="s">
        <v>117</v>
      </c>
      <c r="AC70" s="200"/>
      <c r="AD70" s="200"/>
      <c r="AE70" s="200"/>
      <c r="AF70" s="336"/>
      <c r="AG70" s="200"/>
      <c r="AH70" s="200"/>
      <c r="AI70" s="200"/>
      <c r="AJ70" s="200"/>
      <c r="AK70" s="200"/>
      <c r="AL70" s="200"/>
      <c r="AM70" s="200"/>
      <c r="AN70" s="200"/>
      <c r="AO70" s="200"/>
      <c r="AP70" s="200"/>
      <c r="AQ70" s="200"/>
      <c r="AR70" s="200"/>
      <c r="AS70" s="200"/>
      <c r="AT70" s="200"/>
      <c r="AU70" s="200"/>
      <c r="AV70" s="200"/>
      <c r="AW70" s="200"/>
      <c r="AX70" s="200"/>
      <c r="AY70" s="200"/>
      <c r="AZ70" s="200"/>
      <c r="BA70" s="200"/>
      <c r="BB70" s="200"/>
      <c r="BC70" s="200"/>
      <c r="BD70" s="200"/>
    </row>
    <row r="71" spans="12:56" ht="14.25" hidden="1">
      <c r="L71" s="200"/>
      <c r="M71" s="200"/>
      <c r="N71" s="200"/>
      <c r="O71" s="200"/>
      <c r="P71" s="200"/>
      <c r="Q71" s="200"/>
      <c r="R71" s="200"/>
      <c r="S71" s="200"/>
      <c r="T71" s="200"/>
      <c r="U71" s="200"/>
      <c r="V71" s="200"/>
      <c r="W71" s="200"/>
      <c r="X71" s="1214" t="s">
        <v>390</v>
      </c>
      <c r="Y71" s="1215"/>
      <c r="Z71" s="1215"/>
      <c r="AA71" s="1215"/>
      <c r="AB71" s="1216"/>
      <c r="AC71" s="200"/>
      <c r="AD71" s="200"/>
      <c r="AE71" s="200"/>
      <c r="AF71" s="200"/>
      <c r="AG71" s="200"/>
      <c r="AH71" s="200"/>
      <c r="AI71" s="200"/>
      <c r="AJ71" s="200"/>
      <c r="AK71" s="200"/>
      <c r="AL71" s="200"/>
      <c r="AM71" s="200"/>
      <c r="AN71" s="200"/>
      <c r="AO71" s="200"/>
      <c r="AP71" s="200"/>
      <c r="AQ71" s="200"/>
      <c r="AR71" s="200"/>
      <c r="AS71" s="200"/>
      <c r="AT71" s="200"/>
      <c r="AU71" s="200"/>
      <c r="AV71" s="200"/>
      <c r="AW71" s="200"/>
      <c r="AX71" s="200"/>
      <c r="AY71" s="200"/>
      <c r="AZ71" s="200"/>
      <c r="BA71" s="200"/>
      <c r="BB71" s="200"/>
      <c r="BC71" s="200"/>
      <c r="BD71" s="200"/>
    </row>
    <row r="72" spans="12:56" ht="99.75" hidden="1">
      <c r="L72" s="200"/>
      <c r="M72" s="200"/>
      <c r="N72" s="200"/>
      <c r="O72" s="200"/>
      <c r="P72" s="200"/>
      <c r="Q72" s="200"/>
      <c r="R72" s="200"/>
      <c r="S72" s="200"/>
      <c r="T72" s="200"/>
      <c r="U72" s="200"/>
      <c r="V72" s="200"/>
      <c r="W72" s="200"/>
      <c r="X72" s="280" t="s">
        <v>391</v>
      </c>
      <c r="Y72" s="391" t="s">
        <v>392</v>
      </c>
      <c r="Z72" s="220" t="s">
        <v>393</v>
      </c>
      <c r="AA72" s="265">
        <f>MAX(ROUNDUP(O55*O53/1000/8,0),AA49+8)</f>
        <v>20</v>
      </c>
      <c r="AB72" s="282" t="s">
        <v>394</v>
      </c>
      <c r="AC72" s="200"/>
      <c r="AD72" s="200"/>
      <c r="AE72" s="200"/>
      <c r="AF72" s="200"/>
      <c r="AG72" s="200"/>
      <c r="AH72" s="200"/>
      <c r="AI72" s="200"/>
      <c r="AJ72" s="200"/>
      <c r="AK72" s="200"/>
      <c r="AL72" s="200"/>
      <c r="AM72" s="200"/>
      <c r="AN72" s="200"/>
      <c r="AO72" s="200"/>
      <c r="AP72" s="200"/>
      <c r="AQ72" s="200"/>
      <c r="AR72" s="200"/>
      <c r="AS72" s="200"/>
      <c r="AT72" s="200"/>
      <c r="AU72" s="200"/>
      <c r="AV72" s="200"/>
      <c r="AW72" s="200"/>
      <c r="AX72" s="200"/>
      <c r="AY72" s="200"/>
      <c r="AZ72" s="200"/>
      <c r="BA72" s="200"/>
      <c r="BB72" s="200"/>
      <c r="BC72" s="200"/>
      <c r="BD72" s="200"/>
    </row>
    <row r="73" spans="12:56" ht="242.25" hidden="1">
      <c r="L73" s="200"/>
      <c r="M73" s="200"/>
      <c r="N73" s="200"/>
      <c r="O73" s="200"/>
      <c r="P73" s="200"/>
      <c r="Q73" s="200"/>
      <c r="R73" s="200"/>
      <c r="S73" s="200"/>
      <c r="T73" s="200"/>
      <c r="U73" s="200"/>
      <c r="V73" s="200"/>
      <c r="W73" s="200"/>
      <c r="X73" s="288" t="s">
        <v>395</v>
      </c>
      <c r="Y73" s="289" t="s">
        <v>396</v>
      </c>
      <c r="Z73" s="223" t="s">
        <v>397</v>
      </c>
      <c r="AA73" s="290">
        <f>ROUNDDOWN((AA69-(AA66+AA65+AA64))/(AA60+AA62+2),0)</f>
        <v>6132169</v>
      </c>
      <c r="AB73" s="291" t="s">
        <v>394</v>
      </c>
      <c r="AC73" s="200"/>
      <c r="AD73" s="200"/>
      <c r="AE73" s="200"/>
      <c r="AF73" s="200"/>
      <c r="AG73" s="200"/>
      <c r="AH73" s="200"/>
      <c r="AI73" s="200"/>
      <c r="AJ73" s="200"/>
      <c r="AK73" s="200"/>
      <c r="AL73" s="200"/>
      <c r="AM73" s="200"/>
      <c r="AN73" s="200"/>
      <c r="AO73" s="200"/>
      <c r="AP73" s="200"/>
      <c r="AQ73" s="200"/>
      <c r="AR73" s="200"/>
      <c r="AS73" s="200"/>
      <c r="AT73" s="200"/>
      <c r="AU73" s="200"/>
      <c r="AV73" s="200"/>
      <c r="AW73" s="200"/>
      <c r="AX73" s="200"/>
      <c r="AY73" s="200"/>
      <c r="AZ73" s="200"/>
      <c r="BA73" s="200"/>
      <c r="BB73" s="200"/>
      <c r="BC73" s="200"/>
      <c r="BD73" s="200"/>
    </row>
    <row r="74" spans="12:56" ht="14.25" hidden="1">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0"/>
      <c r="AY74" s="200"/>
      <c r="AZ74" s="200"/>
      <c r="BA74" s="200"/>
      <c r="BB74" s="200"/>
      <c r="BC74" s="200"/>
      <c r="BD74" s="200"/>
    </row>
    <row r="75" spans="12:56" ht="14.25" hidden="1">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c r="AV75" s="200"/>
      <c r="AW75" s="200"/>
      <c r="AX75" s="200"/>
      <c r="AY75" s="200"/>
      <c r="AZ75" s="200"/>
      <c r="BA75" s="200"/>
      <c r="BB75" s="200"/>
      <c r="BC75" s="200"/>
      <c r="BD75" s="200"/>
    </row>
    <row r="76" spans="12:56" ht="14.25" hidden="1">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0"/>
      <c r="AL76" s="200"/>
      <c r="AM76" s="200"/>
      <c r="AN76" s="200"/>
      <c r="AO76" s="200"/>
      <c r="AP76" s="200"/>
      <c r="AQ76" s="200"/>
      <c r="AR76" s="200"/>
      <c r="AS76" s="200"/>
      <c r="AT76" s="200"/>
      <c r="AU76" s="200"/>
      <c r="AV76" s="200"/>
      <c r="AW76" s="200"/>
      <c r="AX76" s="200"/>
      <c r="AY76" s="200"/>
      <c r="AZ76" s="200"/>
      <c r="BA76" s="200"/>
      <c r="BB76" s="200"/>
      <c r="BC76" s="200"/>
      <c r="BD76" s="200"/>
    </row>
    <row r="77" spans="12:56" ht="14.25" hidden="1">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0"/>
      <c r="AL77" s="200"/>
      <c r="AM77" s="200"/>
      <c r="AN77" s="200"/>
      <c r="AO77" s="200"/>
      <c r="AP77" s="200"/>
      <c r="AQ77" s="200"/>
      <c r="AR77" s="200"/>
      <c r="AS77" s="200"/>
      <c r="AT77" s="200"/>
      <c r="AU77" s="200"/>
      <c r="AV77" s="200"/>
      <c r="AW77" s="200"/>
      <c r="AX77" s="200"/>
      <c r="AY77" s="200"/>
      <c r="AZ77" s="200"/>
      <c r="BA77" s="200"/>
      <c r="BB77" s="200"/>
      <c r="BC77" s="200"/>
      <c r="BD77" s="200"/>
    </row>
    <row r="78" spans="12:56" ht="14.25" hidden="1">
      <c r="L78" s="1271" t="s">
        <v>712</v>
      </c>
      <c r="M78" s="1271"/>
      <c r="N78" s="1271"/>
      <c r="O78" s="1271"/>
      <c r="P78" s="1271"/>
      <c r="Q78" s="1271"/>
      <c r="R78" s="382"/>
      <c r="S78" s="1272" t="s">
        <v>713</v>
      </c>
      <c r="T78" s="1272"/>
      <c r="U78" s="1272"/>
      <c r="V78" s="1272"/>
      <c r="W78" s="1272"/>
      <c r="X78" s="1272"/>
      <c r="Y78" s="200"/>
      <c r="Z78" s="200"/>
      <c r="AA78" s="200"/>
      <c r="AB78" s="200"/>
      <c r="AC78" s="200"/>
      <c r="AD78" s="200"/>
      <c r="AE78" s="200"/>
      <c r="AF78" s="200"/>
      <c r="AG78" s="200"/>
      <c r="AH78" s="200"/>
      <c r="AI78" s="200"/>
      <c r="AJ78" s="200"/>
      <c r="AK78" s="200"/>
      <c r="AL78" s="200"/>
      <c r="AM78" s="200"/>
      <c r="AN78" s="200"/>
      <c r="AO78" s="200"/>
      <c r="AP78" s="200"/>
      <c r="AQ78" s="200"/>
      <c r="AR78" s="200"/>
      <c r="AS78" s="200"/>
      <c r="AT78" s="200"/>
      <c r="AU78" s="200"/>
      <c r="AV78" s="200"/>
      <c r="AW78" s="200"/>
      <c r="AX78" s="200"/>
      <c r="AY78" s="200"/>
      <c r="AZ78" s="200"/>
      <c r="BA78" s="200"/>
      <c r="BB78" s="200"/>
      <c r="BC78" s="200"/>
      <c r="BD78" s="200"/>
    </row>
    <row r="79" spans="12:56" ht="14.25" hidden="1">
      <c r="L79" s="1271"/>
      <c r="M79" s="1271"/>
      <c r="N79" s="1271"/>
      <c r="O79" s="1271"/>
      <c r="P79" s="1271"/>
      <c r="Q79" s="1271"/>
      <c r="R79" s="382"/>
      <c r="S79" s="1272"/>
      <c r="T79" s="1272"/>
      <c r="U79" s="1272"/>
      <c r="V79" s="1272"/>
      <c r="W79" s="1272"/>
      <c r="X79" s="1272"/>
      <c r="Y79" s="200"/>
      <c r="Z79" s="200"/>
      <c r="AA79" s="200"/>
      <c r="AB79" s="200"/>
      <c r="AC79" s="200"/>
      <c r="AD79" s="200"/>
      <c r="AE79" s="200"/>
      <c r="AF79" s="200"/>
      <c r="AG79" s="200"/>
      <c r="AH79" s="200"/>
      <c r="AI79" s="200"/>
      <c r="AJ79" s="200"/>
      <c r="AK79" s="200"/>
      <c r="AL79" s="200"/>
      <c r="AM79" s="200"/>
      <c r="AN79" s="200"/>
      <c r="AO79" s="200"/>
      <c r="AP79" s="200"/>
      <c r="AQ79" s="200"/>
      <c r="AR79" s="200"/>
      <c r="AS79" s="200"/>
      <c r="AT79" s="200"/>
      <c r="AU79" s="200"/>
      <c r="AV79" s="200"/>
      <c r="AW79" s="200"/>
      <c r="AX79" s="200"/>
      <c r="AY79" s="200"/>
      <c r="AZ79" s="200"/>
      <c r="BA79" s="200"/>
      <c r="BB79" s="200"/>
      <c r="BC79" s="200"/>
      <c r="BD79" s="200"/>
    </row>
    <row r="80" spans="12:56" ht="14.25" hidden="1">
      <c r="L80" s="1271"/>
      <c r="M80" s="1271"/>
      <c r="N80" s="1271"/>
      <c r="O80" s="1271"/>
      <c r="P80" s="1271"/>
      <c r="Q80" s="1271"/>
      <c r="R80" s="382"/>
      <c r="S80" s="1272"/>
      <c r="T80" s="1272"/>
      <c r="U80" s="1272"/>
      <c r="V80" s="1272"/>
      <c r="W80" s="1272"/>
      <c r="X80" s="1272"/>
      <c r="Y80" s="200"/>
      <c r="Z80" s="200"/>
      <c r="AA80" s="200"/>
      <c r="AB80" s="200"/>
      <c r="AC80" s="200"/>
      <c r="AD80" s="200"/>
      <c r="AE80" s="200"/>
      <c r="AF80" s="200"/>
      <c r="AG80" s="200"/>
      <c r="AH80" s="200"/>
      <c r="AI80" s="200"/>
      <c r="AJ80" s="200"/>
      <c r="AK80" s="200"/>
      <c r="AL80" s="200"/>
      <c r="AM80" s="200"/>
      <c r="AN80" s="200"/>
      <c r="AO80" s="200"/>
      <c r="AP80" s="200"/>
      <c r="AQ80" s="200"/>
      <c r="AR80" s="200"/>
      <c r="AS80" s="200"/>
      <c r="AT80" s="200"/>
      <c r="AU80" s="200"/>
      <c r="AV80" s="200"/>
      <c r="AW80" s="200"/>
      <c r="AX80" s="200"/>
      <c r="AY80" s="200"/>
      <c r="AZ80" s="200"/>
      <c r="BA80" s="200"/>
      <c r="BB80" s="200"/>
      <c r="BC80" s="200"/>
      <c r="BD80" s="200"/>
    </row>
    <row r="81" spans="12:56" ht="14.25" hidden="1">
      <c r="L81" s="1271"/>
      <c r="M81" s="1271"/>
      <c r="N81" s="1271"/>
      <c r="O81" s="1271"/>
      <c r="P81" s="1271"/>
      <c r="Q81" s="1271"/>
      <c r="R81" s="382"/>
      <c r="S81" s="1272"/>
      <c r="T81" s="1272"/>
      <c r="U81" s="1272"/>
      <c r="V81" s="1272"/>
      <c r="W81" s="1272"/>
      <c r="X81" s="1272"/>
      <c r="Y81" s="200"/>
      <c r="Z81" s="200"/>
      <c r="AA81" s="200"/>
      <c r="AB81" s="200"/>
      <c r="AC81" s="200"/>
      <c r="AD81" s="200"/>
      <c r="AE81" s="200"/>
      <c r="AF81" s="200"/>
      <c r="AG81" s="200"/>
      <c r="AH81" s="200"/>
      <c r="AI81" s="200"/>
      <c r="AJ81" s="200"/>
      <c r="AK81" s="200"/>
      <c r="AL81" s="200"/>
      <c r="AM81" s="200"/>
      <c r="AN81" s="200"/>
      <c r="AO81" s="200"/>
      <c r="AP81" s="200"/>
      <c r="AQ81" s="200"/>
      <c r="AR81" s="200"/>
      <c r="AS81" s="200"/>
      <c r="AT81" s="200"/>
      <c r="AU81" s="200"/>
      <c r="AV81" s="200"/>
      <c r="AW81" s="200"/>
      <c r="AX81" s="200"/>
      <c r="AY81" s="200"/>
      <c r="AZ81" s="200"/>
      <c r="BA81" s="200"/>
      <c r="BB81" s="200"/>
      <c r="BC81" s="200"/>
      <c r="BD81" s="200"/>
    </row>
    <row r="82" spans="12:56" ht="14.25" hidden="1">
      <c r="L82" s="378" t="s">
        <v>491</v>
      </c>
      <c r="M82" s="378" t="s">
        <v>714</v>
      </c>
      <c r="N82" s="378" t="s">
        <v>715</v>
      </c>
      <c r="O82" s="378" t="s">
        <v>716</v>
      </c>
      <c r="P82" s="379"/>
      <c r="Q82" s="379"/>
      <c r="R82" s="382"/>
      <c r="S82" s="378" t="s">
        <v>717</v>
      </c>
      <c r="T82" s="378" t="s">
        <v>714</v>
      </c>
      <c r="U82" s="378" t="s">
        <v>715</v>
      </c>
      <c r="V82" s="378" t="s">
        <v>716</v>
      </c>
      <c r="W82" s="379"/>
      <c r="X82" s="379"/>
      <c r="Y82" s="200"/>
      <c r="Z82" s="200"/>
      <c r="AA82" s="200"/>
      <c r="AB82" s="200"/>
      <c r="AC82" s="200"/>
      <c r="AD82" s="200"/>
      <c r="AE82" s="200"/>
      <c r="AF82" s="200"/>
      <c r="AG82" s="200"/>
      <c r="AH82" s="200"/>
      <c r="AI82" s="200"/>
      <c r="AJ82" s="200"/>
      <c r="AK82" s="200"/>
      <c r="AL82" s="200"/>
      <c r="AM82" s="200"/>
      <c r="AN82" s="200"/>
      <c r="AO82" s="200"/>
      <c r="AP82" s="200"/>
      <c r="AQ82" s="200"/>
      <c r="AR82" s="200"/>
      <c r="AS82" s="200"/>
      <c r="AT82" s="200"/>
      <c r="AU82" s="200"/>
      <c r="AV82" s="200"/>
      <c r="AW82" s="200"/>
      <c r="AX82" s="200"/>
      <c r="AY82" s="200"/>
      <c r="AZ82" s="200"/>
      <c r="BA82" s="200"/>
      <c r="BB82" s="200"/>
      <c r="BC82" s="200"/>
      <c r="BD82" s="200"/>
    </row>
    <row r="83" spans="12:56" ht="14.25" hidden="1">
      <c r="L83" s="380">
        <f t="shared" ref="L83:L85" si="0">M83+N83+O83+88</f>
        <v>118</v>
      </c>
      <c r="M83" s="380">
        <v>6</v>
      </c>
      <c r="N83" s="380">
        <v>10</v>
      </c>
      <c r="O83" s="380">
        <v>14</v>
      </c>
      <c r="P83" s="381" t="s">
        <v>718</v>
      </c>
      <c r="Q83" s="381"/>
      <c r="R83" s="382"/>
      <c r="S83" s="380">
        <f t="shared" ref="S83:S85" si="1">T83+U83+V83+5+1</f>
        <v>22</v>
      </c>
      <c r="T83" s="380">
        <v>6</v>
      </c>
      <c r="U83" s="380">
        <v>10</v>
      </c>
      <c r="V83" s="380">
        <v>0</v>
      </c>
      <c r="W83" s="381" t="s">
        <v>718</v>
      </c>
      <c r="X83" s="381"/>
      <c r="Y83" s="200"/>
      <c r="Z83" s="200"/>
      <c r="AA83" s="200"/>
      <c r="AB83" s="200"/>
      <c r="AC83" s="200"/>
      <c r="AD83" s="200"/>
      <c r="AE83" s="200"/>
      <c r="AF83" s="200"/>
      <c r="AG83" s="200"/>
      <c r="AH83" s="200"/>
      <c r="AI83" s="200"/>
      <c r="AJ83" s="200"/>
      <c r="AK83" s="200"/>
      <c r="AL83" s="200"/>
      <c r="AM83" s="200"/>
      <c r="AN83" s="200"/>
      <c r="AO83" s="200"/>
      <c r="AP83" s="200"/>
      <c r="AQ83" s="200"/>
      <c r="AR83" s="200"/>
      <c r="AS83" s="200"/>
      <c r="AT83" s="200"/>
      <c r="AU83" s="200"/>
      <c r="AV83" s="200"/>
      <c r="AW83" s="200"/>
      <c r="AX83" s="200"/>
      <c r="AY83" s="200"/>
      <c r="AZ83" s="200"/>
      <c r="BA83" s="200"/>
      <c r="BB83" s="200"/>
      <c r="BC83" s="200"/>
      <c r="BD83" s="200"/>
    </row>
    <row r="84" spans="12:56" ht="14.25" hidden="1">
      <c r="L84" s="380">
        <f t="shared" si="0"/>
        <v>112</v>
      </c>
      <c r="M84" s="380">
        <v>4</v>
      </c>
      <c r="N84" s="380">
        <v>8</v>
      </c>
      <c r="O84" s="380">
        <v>12</v>
      </c>
      <c r="P84" s="381" t="s">
        <v>719</v>
      </c>
      <c r="Q84" s="381"/>
      <c r="R84" s="382"/>
      <c r="S84" s="380">
        <f t="shared" si="1"/>
        <v>18</v>
      </c>
      <c r="T84" s="380">
        <v>4</v>
      </c>
      <c r="U84" s="380">
        <v>8</v>
      </c>
      <c r="V84" s="380">
        <v>0</v>
      </c>
      <c r="W84" s="381" t="s">
        <v>719</v>
      </c>
      <c r="X84" s="381"/>
      <c r="Y84" s="200"/>
      <c r="Z84" s="200"/>
      <c r="AA84" s="200"/>
      <c r="AB84" s="200"/>
      <c r="AC84" s="200"/>
      <c r="AD84" s="200"/>
      <c r="AE84" s="200"/>
      <c r="AF84" s="200"/>
      <c r="AG84" s="200"/>
      <c r="AH84" s="200"/>
      <c r="AI84" s="200"/>
      <c r="AJ84" s="200"/>
      <c r="AK84" s="200"/>
      <c r="AL84" s="200"/>
      <c r="AM84" s="200"/>
      <c r="AN84" s="200"/>
      <c r="AO84" s="200"/>
      <c r="AP84" s="200"/>
      <c r="AQ84" s="200"/>
      <c r="AR84" s="200"/>
      <c r="AS84" s="200"/>
      <c r="AT84" s="200"/>
      <c r="AU84" s="200"/>
      <c r="AV84" s="200"/>
      <c r="AW84" s="200"/>
      <c r="AX84" s="200"/>
      <c r="AY84" s="200"/>
      <c r="AZ84" s="200"/>
      <c r="BA84" s="200"/>
      <c r="BB84" s="200"/>
      <c r="BC84" s="200"/>
      <c r="BD84" s="200"/>
    </row>
    <row r="85" spans="12:56" ht="14.25" hidden="1">
      <c r="L85" s="380">
        <f t="shared" si="0"/>
        <v>110</v>
      </c>
      <c r="M85" s="380">
        <v>4</v>
      </c>
      <c r="N85" s="380">
        <v>8</v>
      </c>
      <c r="O85" s="380">
        <v>10</v>
      </c>
      <c r="P85" s="381" t="s">
        <v>720</v>
      </c>
      <c r="Q85" s="381"/>
      <c r="R85" s="382"/>
      <c r="S85" s="380">
        <f t="shared" si="1"/>
        <v>18</v>
      </c>
      <c r="T85" s="380">
        <v>4</v>
      </c>
      <c r="U85" s="380">
        <v>8</v>
      </c>
      <c r="V85" s="380">
        <v>0</v>
      </c>
      <c r="W85" s="381" t="s">
        <v>720</v>
      </c>
      <c r="X85" s="381"/>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c r="AV85" s="200"/>
      <c r="AW85" s="200"/>
      <c r="AX85" s="200"/>
      <c r="AY85" s="200"/>
      <c r="AZ85" s="200"/>
      <c r="BA85" s="200"/>
      <c r="BB85" s="200"/>
      <c r="BC85" s="200"/>
      <c r="BD85" s="200"/>
    </row>
    <row r="86" spans="12:56" ht="14.25" hidden="1">
      <c r="L86" s="378"/>
      <c r="M86" s="378"/>
      <c r="N86" s="378"/>
      <c r="O86" s="378"/>
      <c r="P86" s="379"/>
      <c r="Q86" s="379"/>
      <c r="R86" s="382"/>
      <c r="S86" s="378"/>
      <c r="T86" s="378"/>
      <c r="U86" s="378"/>
      <c r="V86" s="378"/>
      <c r="W86" s="379"/>
      <c r="X86" s="379"/>
      <c r="Y86" s="200"/>
      <c r="Z86" s="200"/>
      <c r="AA86" s="200"/>
      <c r="AB86" s="200"/>
      <c r="AC86" s="200"/>
      <c r="AD86" s="200"/>
      <c r="AE86" s="200"/>
      <c r="AF86" s="200"/>
      <c r="AG86" s="200"/>
      <c r="AH86" s="200"/>
      <c r="AI86" s="200"/>
      <c r="AJ86" s="200"/>
      <c r="AK86" s="200"/>
      <c r="AL86" s="200"/>
      <c r="AM86" s="200"/>
      <c r="AN86" s="200"/>
      <c r="AO86" s="200"/>
      <c r="AP86" s="200"/>
      <c r="AQ86" s="200"/>
      <c r="AR86" s="200"/>
      <c r="AS86" s="200"/>
      <c r="AT86" s="200"/>
      <c r="AU86" s="200"/>
      <c r="AV86" s="200"/>
      <c r="AW86" s="200"/>
      <c r="AX86" s="200"/>
      <c r="AY86" s="200"/>
      <c r="AZ86" s="200"/>
      <c r="BA86" s="200"/>
      <c r="BB86" s="200"/>
      <c r="BC86" s="200"/>
      <c r="BD86" s="200"/>
    </row>
    <row r="87" spans="12:56" ht="14.25" hidden="1">
      <c r="L87" s="378">
        <f t="shared" ref="L87:L93" si="2">M87+N87+O87+88</f>
        <v>118</v>
      </c>
      <c r="M87" s="378">
        <v>6</v>
      </c>
      <c r="N87" s="378">
        <v>10</v>
      </c>
      <c r="O87" s="378">
        <v>14</v>
      </c>
      <c r="P87" s="379" t="s">
        <v>721</v>
      </c>
      <c r="Q87" s="379"/>
      <c r="R87" s="382"/>
      <c r="S87" s="380">
        <f t="shared" ref="S87:S89" si="3">T87+U87+V87+5+1</f>
        <v>22</v>
      </c>
      <c r="T87" s="378">
        <v>6</v>
      </c>
      <c r="U87" s="378">
        <v>10</v>
      </c>
      <c r="V87" s="378">
        <v>0</v>
      </c>
      <c r="W87" s="379" t="s">
        <v>721</v>
      </c>
      <c r="X87" s="379"/>
      <c r="Y87" s="200"/>
      <c r="Z87" s="200"/>
      <c r="AA87" s="200"/>
      <c r="AB87" s="200"/>
      <c r="AC87" s="200"/>
      <c r="AD87" s="200"/>
      <c r="AE87" s="200"/>
      <c r="AF87" s="200"/>
      <c r="AG87" s="200"/>
      <c r="AH87" s="200"/>
      <c r="AI87" s="200"/>
      <c r="AJ87" s="200"/>
      <c r="AK87" s="200"/>
      <c r="AL87" s="200"/>
      <c r="AM87" s="200"/>
      <c r="AN87" s="200"/>
      <c r="AO87" s="200"/>
      <c r="AP87" s="200"/>
      <c r="AQ87" s="200"/>
      <c r="AR87" s="200"/>
      <c r="AS87" s="200"/>
      <c r="AT87" s="200"/>
      <c r="AU87" s="200"/>
      <c r="AV87" s="200"/>
      <c r="AW87" s="200"/>
      <c r="AX87" s="200"/>
      <c r="AY87" s="200"/>
      <c r="AZ87" s="200"/>
      <c r="BA87" s="200"/>
      <c r="BB87" s="200"/>
      <c r="BC87" s="200"/>
      <c r="BD87" s="200"/>
    </row>
    <row r="88" spans="12:56" ht="14.25" hidden="1">
      <c r="L88" s="378">
        <f t="shared" si="2"/>
        <v>112</v>
      </c>
      <c r="M88" s="378">
        <v>4</v>
      </c>
      <c r="N88" s="378">
        <v>8</v>
      </c>
      <c r="O88" s="378">
        <v>12</v>
      </c>
      <c r="P88" s="379" t="s">
        <v>722</v>
      </c>
      <c r="Q88" s="379"/>
      <c r="R88" s="382"/>
      <c r="S88" s="380">
        <f t="shared" si="3"/>
        <v>18</v>
      </c>
      <c r="T88" s="378">
        <v>4</v>
      </c>
      <c r="U88" s="378">
        <v>8</v>
      </c>
      <c r="V88" s="378">
        <v>0</v>
      </c>
      <c r="W88" s="379" t="s">
        <v>722</v>
      </c>
      <c r="X88" s="379"/>
      <c r="Y88" s="200"/>
      <c r="Z88" s="200"/>
      <c r="AA88" s="200"/>
      <c r="AB88" s="200"/>
      <c r="AC88" s="200"/>
      <c r="AD88" s="200"/>
      <c r="AE88" s="200"/>
      <c r="AF88" s="200"/>
      <c r="AG88" s="200"/>
      <c r="AH88" s="200"/>
      <c r="AI88" s="200"/>
      <c r="AJ88" s="200"/>
      <c r="AK88" s="200"/>
      <c r="AL88" s="200"/>
      <c r="AM88" s="200"/>
      <c r="AN88" s="200"/>
      <c r="AO88" s="200"/>
      <c r="AP88" s="200"/>
      <c r="AQ88" s="200"/>
      <c r="AR88" s="200"/>
      <c r="AS88" s="200"/>
      <c r="AT88" s="200"/>
      <c r="AU88" s="200"/>
      <c r="AV88" s="200"/>
      <c r="AW88" s="200"/>
      <c r="AX88" s="200"/>
      <c r="AY88" s="200"/>
      <c r="AZ88" s="200"/>
      <c r="BA88" s="200"/>
      <c r="BB88" s="200"/>
      <c r="BC88" s="200"/>
      <c r="BD88" s="200"/>
    </row>
    <row r="89" spans="12:56" ht="14.25" hidden="1">
      <c r="L89" s="378">
        <f>M90+N90+O90+88</f>
        <v>88</v>
      </c>
      <c r="M89" s="378">
        <v>4</v>
      </c>
      <c r="N89" s="378">
        <v>8</v>
      </c>
      <c r="O89" s="378">
        <v>10</v>
      </c>
      <c r="P89" s="379" t="s">
        <v>723</v>
      </c>
      <c r="Q89" s="379"/>
      <c r="R89" s="382"/>
      <c r="S89" s="380">
        <f t="shared" si="3"/>
        <v>18</v>
      </c>
      <c r="T89" s="378">
        <v>4</v>
      </c>
      <c r="U89" s="378">
        <v>8</v>
      </c>
      <c r="V89" s="378">
        <v>0</v>
      </c>
      <c r="W89" s="379" t="s">
        <v>723</v>
      </c>
      <c r="X89" s="379"/>
      <c r="Y89" s="200"/>
      <c r="Z89" s="200"/>
      <c r="AA89" s="200"/>
      <c r="AB89" s="200"/>
      <c r="AC89" s="200"/>
      <c r="AD89" s="200"/>
      <c r="AE89" s="200"/>
      <c r="AF89" s="200"/>
      <c r="AG89" s="200"/>
      <c r="AH89" s="200"/>
      <c r="AI89" s="200"/>
      <c r="AJ89" s="200"/>
      <c r="AK89" s="200"/>
      <c r="AL89" s="200"/>
      <c r="AM89" s="200"/>
      <c r="AN89" s="200"/>
      <c r="AO89" s="200"/>
      <c r="AP89" s="200"/>
      <c r="AQ89" s="200"/>
      <c r="AR89" s="200"/>
      <c r="AS89" s="200"/>
      <c r="AT89" s="200"/>
      <c r="AU89" s="200"/>
      <c r="AV89" s="200"/>
      <c r="AW89" s="200"/>
      <c r="AX89" s="200"/>
      <c r="AY89" s="200"/>
      <c r="AZ89" s="200"/>
      <c r="BA89" s="200"/>
      <c r="BB89" s="200"/>
      <c r="BC89" s="200"/>
      <c r="BD89" s="200"/>
    </row>
    <row r="90" spans="12:56" ht="14.25" hidden="1">
      <c r="L90" s="378"/>
      <c r="M90" s="378"/>
      <c r="N90" s="378"/>
      <c r="O90" s="378"/>
      <c r="P90" s="379"/>
      <c r="Q90" s="379"/>
      <c r="R90" s="382"/>
      <c r="S90" s="378"/>
      <c r="T90" s="378"/>
      <c r="U90" s="378"/>
      <c r="V90" s="378"/>
      <c r="W90" s="379"/>
      <c r="X90" s="379"/>
      <c r="Y90" s="200"/>
      <c r="Z90" s="200"/>
      <c r="AA90" s="200"/>
      <c r="AB90" s="200"/>
      <c r="AC90" s="200"/>
      <c r="AD90" s="200"/>
      <c r="AE90" s="200"/>
      <c r="AF90" s="200"/>
      <c r="AG90" s="200"/>
      <c r="AH90" s="200"/>
      <c r="AI90" s="200"/>
      <c r="AJ90" s="200"/>
      <c r="AK90" s="200"/>
      <c r="AL90" s="200"/>
      <c r="AM90" s="200"/>
      <c r="AN90" s="200"/>
      <c r="AO90" s="200"/>
      <c r="AP90" s="200"/>
      <c r="AQ90" s="200"/>
      <c r="AR90" s="200"/>
      <c r="AS90" s="200"/>
      <c r="AT90" s="200"/>
      <c r="AU90" s="200"/>
      <c r="AV90" s="200"/>
      <c r="AW90" s="200"/>
      <c r="AX90" s="200"/>
      <c r="AY90" s="200"/>
      <c r="AZ90" s="200"/>
      <c r="BA90" s="200"/>
      <c r="BB90" s="200"/>
      <c r="BC90" s="200"/>
      <c r="BD90" s="200"/>
    </row>
    <row r="91" spans="12:56" ht="14.25" hidden="1">
      <c r="L91" s="380">
        <f t="shared" si="2"/>
        <v>132</v>
      </c>
      <c r="M91" s="380">
        <v>8</v>
      </c>
      <c r="N91" s="380">
        <v>14</v>
      </c>
      <c r="O91" s="380">
        <v>22</v>
      </c>
      <c r="P91" s="381" t="s">
        <v>724</v>
      </c>
      <c r="Q91" s="381"/>
      <c r="R91" s="382"/>
      <c r="S91" s="380">
        <f t="shared" ref="S91:S93" si="4">T91+U91+V91+5+1</f>
        <v>28</v>
      </c>
      <c r="T91" s="380">
        <v>8</v>
      </c>
      <c r="U91" s="380">
        <v>14</v>
      </c>
      <c r="V91" s="380">
        <v>0</v>
      </c>
      <c r="W91" s="381" t="s">
        <v>724</v>
      </c>
      <c r="X91" s="381"/>
      <c r="Y91" s="200"/>
      <c r="Z91" s="200"/>
      <c r="AA91" s="200"/>
      <c r="AB91" s="200"/>
      <c r="AC91" s="200"/>
      <c r="AD91" s="200"/>
      <c r="AE91" s="200"/>
      <c r="AF91" s="200"/>
      <c r="AG91" s="200"/>
      <c r="AH91" s="200"/>
      <c r="AI91" s="200"/>
      <c r="AJ91" s="200"/>
      <c r="AK91" s="200"/>
      <c r="AL91" s="200"/>
      <c r="AM91" s="200"/>
      <c r="AN91" s="200"/>
      <c r="AO91" s="200"/>
      <c r="AP91" s="200"/>
      <c r="AQ91" s="200"/>
      <c r="AR91" s="200"/>
      <c r="AS91" s="200"/>
      <c r="AT91" s="200"/>
      <c r="AU91" s="200"/>
      <c r="AV91" s="200"/>
      <c r="AW91" s="200"/>
      <c r="AX91" s="200"/>
      <c r="AY91" s="200"/>
      <c r="AZ91" s="200"/>
      <c r="BA91" s="200"/>
      <c r="BB91" s="200"/>
      <c r="BC91" s="200"/>
      <c r="BD91" s="200"/>
    </row>
    <row r="92" spans="12:56" ht="14.25" hidden="1">
      <c r="L92" s="380">
        <f t="shared" si="2"/>
        <v>130</v>
      </c>
      <c r="M92" s="380">
        <v>6</v>
      </c>
      <c r="N92" s="380">
        <v>14</v>
      </c>
      <c r="O92" s="380">
        <v>22</v>
      </c>
      <c r="P92" s="381" t="s">
        <v>725</v>
      </c>
      <c r="Q92" s="381"/>
      <c r="R92" s="382"/>
      <c r="S92" s="380">
        <f t="shared" si="4"/>
        <v>26</v>
      </c>
      <c r="T92" s="380">
        <v>6</v>
      </c>
      <c r="U92" s="380">
        <v>14</v>
      </c>
      <c r="V92" s="380">
        <v>0</v>
      </c>
      <c r="W92" s="381" t="s">
        <v>725</v>
      </c>
      <c r="X92" s="381"/>
      <c r="Y92" s="200"/>
      <c r="Z92" s="200"/>
      <c r="AA92" s="200"/>
      <c r="AB92" s="200"/>
      <c r="AC92" s="200"/>
      <c r="AD92" s="200"/>
      <c r="AE92" s="200"/>
      <c r="AF92" s="200"/>
      <c r="AG92" s="200"/>
      <c r="AH92" s="200"/>
      <c r="AI92" s="200"/>
      <c r="AJ92" s="200"/>
      <c r="AK92" s="200"/>
      <c r="AL92" s="200"/>
      <c r="AM92" s="200"/>
      <c r="AN92" s="200"/>
      <c r="AO92" s="200"/>
      <c r="AP92" s="200"/>
      <c r="AQ92" s="200"/>
      <c r="AR92" s="200"/>
      <c r="AS92" s="200"/>
      <c r="AT92" s="200"/>
      <c r="AU92" s="200"/>
      <c r="AV92" s="200"/>
      <c r="AW92" s="200"/>
      <c r="AX92" s="200"/>
      <c r="AY92" s="200"/>
      <c r="AZ92" s="200"/>
      <c r="BA92" s="200"/>
      <c r="BB92" s="200"/>
      <c r="BC92" s="200"/>
      <c r="BD92" s="200"/>
    </row>
    <row r="93" spans="12:56" ht="14.25" hidden="1">
      <c r="L93" s="380">
        <f t="shared" si="2"/>
        <v>120</v>
      </c>
      <c r="M93" s="380">
        <v>6</v>
      </c>
      <c r="N93" s="380">
        <v>10</v>
      </c>
      <c r="O93" s="380">
        <v>16</v>
      </c>
      <c r="P93" s="381" t="s">
        <v>726</v>
      </c>
      <c r="Q93" s="381"/>
      <c r="R93" s="382"/>
      <c r="S93" s="380">
        <f t="shared" si="4"/>
        <v>22</v>
      </c>
      <c r="T93" s="380">
        <v>6</v>
      </c>
      <c r="U93" s="380">
        <v>10</v>
      </c>
      <c r="V93" s="380">
        <v>0</v>
      </c>
      <c r="W93" s="381" t="s">
        <v>726</v>
      </c>
      <c r="X93" s="381"/>
      <c r="Y93" s="200"/>
      <c r="Z93" s="200"/>
      <c r="AA93" s="200"/>
      <c r="AB93" s="200"/>
      <c r="AC93" s="200"/>
      <c r="AD93" s="200"/>
      <c r="AE93" s="200"/>
      <c r="AF93" s="200"/>
      <c r="AG93" s="200"/>
      <c r="AH93" s="200"/>
      <c r="AI93" s="200"/>
      <c r="AJ93" s="200"/>
      <c r="AK93" s="200"/>
      <c r="AL93" s="200"/>
      <c r="AM93" s="200"/>
      <c r="AN93" s="200"/>
      <c r="AO93" s="200"/>
      <c r="AP93" s="200"/>
      <c r="AQ93" s="200"/>
      <c r="AR93" s="200"/>
      <c r="AS93" s="200"/>
      <c r="AT93" s="200"/>
      <c r="AU93" s="200"/>
      <c r="AV93" s="200"/>
      <c r="AW93" s="200"/>
      <c r="AX93" s="200"/>
      <c r="AY93" s="200"/>
      <c r="AZ93" s="200"/>
      <c r="BA93" s="200"/>
      <c r="BB93" s="200"/>
      <c r="BC93" s="200"/>
      <c r="BD93" s="200"/>
    </row>
    <row r="94" spans="12:56" ht="14.25" hidden="1">
      <c r="L94" s="378"/>
      <c r="M94" s="378"/>
      <c r="N94" s="378"/>
      <c r="O94" s="378"/>
      <c r="P94" s="379"/>
      <c r="Q94" s="379"/>
      <c r="R94" s="382"/>
      <c r="S94" s="378"/>
      <c r="T94" s="378"/>
      <c r="U94" s="378"/>
      <c r="V94" s="378"/>
      <c r="W94" s="379"/>
      <c r="X94" s="379"/>
      <c r="Y94" s="200"/>
      <c r="Z94" s="200"/>
      <c r="AA94" s="200"/>
      <c r="AB94" s="200"/>
      <c r="AC94" s="200"/>
      <c r="AD94" s="200"/>
      <c r="AE94" s="200"/>
      <c r="AF94" s="200"/>
      <c r="AG94" s="200"/>
      <c r="AH94" s="200"/>
      <c r="AI94" s="200"/>
      <c r="AJ94" s="200"/>
      <c r="AK94" s="200"/>
      <c r="AL94" s="200"/>
      <c r="AM94" s="200"/>
      <c r="AN94" s="200"/>
      <c r="AO94" s="200"/>
      <c r="AP94" s="200"/>
      <c r="AQ94" s="200"/>
      <c r="AR94" s="200"/>
      <c r="AS94" s="200"/>
      <c r="AT94" s="200"/>
      <c r="AU94" s="200"/>
      <c r="AV94" s="200"/>
      <c r="AW94" s="200"/>
      <c r="AX94" s="200"/>
      <c r="AY94" s="200"/>
      <c r="AZ94" s="200"/>
      <c r="BA94" s="200"/>
      <c r="BB94" s="200"/>
      <c r="BC94" s="200"/>
      <c r="BD94" s="200"/>
    </row>
    <row r="95" spans="12:56" ht="14.25" hidden="1">
      <c r="L95" s="378">
        <f t="shared" ref="L95:L97" si="5">M95+N95+O95+88</f>
        <v>144</v>
      </c>
      <c r="M95" s="378">
        <v>8</v>
      </c>
      <c r="N95" s="378">
        <v>20</v>
      </c>
      <c r="O95" s="378">
        <v>28</v>
      </c>
      <c r="P95" s="379" t="s">
        <v>727</v>
      </c>
      <c r="Q95" s="379"/>
      <c r="R95" s="382"/>
      <c r="S95" s="380">
        <f t="shared" ref="S95:S97" si="6">T95+U95+V95+5+1</f>
        <v>34</v>
      </c>
      <c r="T95" s="378">
        <v>8</v>
      </c>
      <c r="U95" s="378">
        <v>20</v>
      </c>
      <c r="V95" s="378">
        <v>0</v>
      </c>
      <c r="W95" s="379" t="s">
        <v>727</v>
      </c>
      <c r="X95" s="379"/>
      <c r="Y95" s="200"/>
      <c r="Z95" s="200"/>
      <c r="AA95" s="200"/>
      <c r="AB95" s="200"/>
      <c r="AC95" s="200"/>
      <c r="AD95" s="200"/>
      <c r="AE95" s="200"/>
      <c r="AF95" s="200"/>
      <c r="AG95" s="200"/>
      <c r="AH95" s="200"/>
      <c r="AI95" s="200"/>
      <c r="AJ95" s="200"/>
      <c r="AK95" s="200"/>
      <c r="AL95" s="200"/>
      <c r="AM95" s="200"/>
      <c r="AN95" s="200"/>
      <c r="AO95" s="200"/>
      <c r="AP95" s="200"/>
      <c r="AQ95" s="200"/>
      <c r="AR95" s="200"/>
      <c r="AS95" s="200"/>
      <c r="AT95" s="200"/>
      <c r="AU95" s="200"/>
      <c r="AV95" s="200"/>
      <c r="AW95" s="200"/>
      <c r="AX95" s="200"/>
      <c r="AY95" s="200"/>
      <c r="AZ95" s="200"/>
      <c r="BA95" s="200"/>
      <c r="BB95" s="200"/>
      <c r="BC95" s="200"/>
      <c r="BD95" s="200"/>
    </row>
    <row r="96" spans="12:56" ht="14.25" hidden="1">
      <c r="L96" s="378">
        <f t="shared" si="5"/>
        <v>136</v>
      </c>
      <c r="M96" s="378">
        <v>8</v>
      </c>
      <c r="N96" s="378">
        <v>16</v>
      </c>
      <c r="O96" s="378">
        <v>24</v>
      </c>
      <c r="P96" s="379" t="s">
        <v>728</v>
      </c>
      <c r="Q96" s="379"/>
      <c r="R96" s="382"/>
      <c r="S96" s="380">
        <f t="shared" si="6"/>
        <v>30</v>
      </c>
      <c r="T96" s="378">
        <v>8</v>
      </c>
      <c r="U96" s="378">
        <v>16</v>
      </c>
      <c r="V96" s="378">
        <v>0</v>
      </c>
      <c r="W96" s="379" t="s">
        <v>728</v>
      </c>
      <c r="X96" s="379"/>
      <c r="Y96" s="200"/>
      <c r="Z96" s="200"/>
      <c r="AA96" s="200"/>
      <c r="AB96" s="200"/>
      <c r="AC96" s="200"/>
      <c r="AD96" s="200"/>
      <c r="AE96" s="200"/>
      <c r="AF96" s="200"/>
      <c r="AG96" s="200"/>
      <c r="AH96" s="200"/>
      <c r="AI96" s="200"/>
      <c r="AJ96" s="200"/>
      <c r="AK96" s="200"/>
      <c r="AL96" s="200"/>
      <c r="AM96" s="200"/>
      <c r="AN96" s="200"/>
      <c r="AO96" s="200"/>
      <c r="AP96" s="200"/>
      <c r="AQ96" s="200"/>
      <c r="AR96" s="200"/>
      <c r="AS96" s="200"/>
      <c r="AT96" s="200"/>
      <c r="AU96" s="200"/>
      <c r="AV96" s="200"/>
      <c r="AW96" s="200"/>
      <c r="AX96" s="200"/>
      <c r="AY96" s="200"/>
      <c r="AZ96" s="200"/>
      <c r="BA96" s="200"/>
      <c r="BB96" s="200"/>
      <c r="BC96" s="200"/>
      <c r="BD96" s="200"/>
    </row>
    <row r="97" spans="12:56" ht="14.25" hidden="1">
      <c r="L97" s="378">
        <f t="shared" si="5"/>
        <v>128</v>
      </c>
      <c r="M97" s="378">
        <v>8</v>
      </c>
      <c r="N97" s="378">
        <v>12</v>
      </c>
      <c r="O97" s="378">
        <v>20</v>
      </c>
      <c r="P97" s="379" t="s">
        <v>729</v>
      </c>
      <c r="Q97" s="379"/>
      <c r="R97" s="382"/>
      <c r="S97" s="380">
        <f t="shared" si="6"/>
        <v>26</v>
      </c>
      <c r="T97" s="378">
        <v>8</v>
      </c>
      <c r="U97" s="378">
        <v>12</v>
      </c>
      <c r="V97" s="378">
        <v>0</v>
      </c>
      <c r="W97" s="379" t="s">
        <v>729</v>
      </c>
      <c r="X97" s="379"/>
      <c r="Y97" s="200"/>
      <c r="Z97" s="200"/>
      <c r="AA97" s="200"/>
      <c r="AB97" s="200"/>
      <c r="AC97" s="200"/>
      <c r="AD97" s="200"/>
      <c r="AE97" s="200"/>
      <c r="AF97" s="200"/>
      <c r="AG97" s="200"/>
      <c r="AH97" s="200"/>
      <c r="AI97" s="200"/>
      <c r="AJ97" s="200"/>
      <c r="AK97" s="200"/>
      <c r="AL97" s="200"/>
      <c r="AM97" s="200"/>
      <c r="AN97" s="200"/>
      <c r="AO97" s="200"/>
      <c r="AP97" s="200"/>
      <c r="AQ97" s="200"/>
      <c r="AR97" s="200"/>
      <c r="AS97" s="200"/>
      <c r="AT97" s="200"/>
      <c r="AU97" s="200"/>
      <c r="AV97" s="200"/>
      <c r="AW97" s="200"/>
      <c r="AX97" s="200"/>
      <c r="AY97" s="200"/>
      <c r="AZ97" s="200"/>
      <c r="BA97" s="200"/>
      <c r="BB97" s="200"/>
      <c r="BC97" s="200"/>
      <c r="BD97" s="200"/>
    </row>
    <row r="98" spans="12:56" ht="14.25" hidden="1">
      <c r="L98" s="382"/>
      <c r="M98" s="382"/>
      <c r="N98" s="382"/>
      <c r="O98" s="382"/>
      <c r="P98" s="382"/>
      <c r="Q98" s="382"/>
      <c r="R98" s="382"/>
      <c r="S98" s="382"/>
      <c r="T98" s="382"/>
      <c r="U98" s="382"/>
      <c r="V98" s="382"/>
      <c r="W98" s="382"/>
      <c r="X98" s="382"/>
      <c r="Y98" s="200"/>
      <c r="Z98" s="200"/>
      <c r="AA98" s="200"/>
      <c r="AB98" s="200"/>
      <c r="AC98" s="200"/>
      <c r="AD98" s="200"/>
      <c r="AE98" s="200"/>
      <c r="AF98" s="200"/>
      <c r="AG98" s="200"/>
      <c r="AH98" s="200"/>
      <c r="AI98" s="200"/>
      <c r="AJ98" s="200"/>
      <c r="AK98" s="200"/>
      <c r="AL98" s="200"/>
      <c r="AM98" s="200"/>
      <c r="AN98" s="200"/>
      <c r="AO98" s="200"/>
      <c r="AP98" s="200"/>
      <c r="AQ98" s="200"/>
      <c r="AR98" s="200"/>
      <c r="AS98" s="200"/>
      <c r="AT98" s="200"/>
      <c r="AU98" s="200"/>
      <c r="AV98" s="200"/>
      <c r="AW98" s="200"/>
      <c r="AX98" s="200"/>
      <c r="AY98" s="200"/>
      <c r="AZ98" s="200"/>
      <c r="BA98" s="200"/>
      <c r="BB98" s="200"/>
      <c r="BC98" s="200"/>
      <c r="BD98" s="200"/>
    </row>
    <row r="99" spans="12:56" ht="14.25" hidden="1">
      <c r="L99" s="382"/>
      <c r="M99" s="382"/>
      <c r="N99" s="382"/>
      <c r="O99" s="382"/>
      <c r="P99" s="382"/>
      <c r="Q99" s="382"/>
      <c r="R99" s="382"/>
      <c r="S99" s="382"/>
      <c r="T99" s="382"/>
      <c r="U99" s="382"/>
      <c r="V99" s="382"/>
      <c r="W99" s="382"/>
      <c r="X99" s="382"/>
      <c r="Y99" s="200"/>
      <c r="Z99" s="200"/>
      <c r="AA99" s="200"/>
      <c r="AB99" s="200"/>
      <c r="AC99" s="200"/>
      <c r="AD99" s="200"/>
      <c r="AE99" s="200"/>
      <c r="AF99" s="200"/>
      <c r="AG99" s="200"/>
      <c r="AH99" s="200"/>
      <c r="AI99" s="200"/>
      <c r="AJ99" s="200"/>
      <c r="AK99" s="200"/>
      <c r="AL99" s="200"/>
      <c r="AM99" s="200"/>
      <c r="AN99" s="200"/>
      <c r="AO99" s="200"/>
      <c r="AP99" s="200"/>
      <c r="AQ99" s="200"/>
      <c r="AR99" s="200"/>
      <c r="AS99" s="200"/>
      <c r="AT99" s="200"/>
      <c r="AU99" s="200"/>
      <c r="AV99" s="200"/>
      <c r="AW99" s="200"/>
      <c r="AX99" s="200"/>
      <c r="AY99" s="200"/>
      <c r="AZ99" s="200"/>
      <c r="BA99" s="200"/>
      <c r="BB99" s="200"/>
      <c r="BC99" s="200"/>
      <c r="BD99" s="200"/>
    </row>
    <row r="100" spans="12:56" ht="14.25" hidden="1">
      <c r="L100" s="383" t="s">
        <v>730</v>
      </c>
      <c r="M100" s="382">
        <f>MAX(L82:L97)</f>
        <v>144</v>
      </c>
      <c r="N100" s="382"/>
      <c r="O100" s="382"/>
      <c r="P100" s="382"/>
      <c r="Q100" s="382"/>
      <c r="R100" s="382"/>
      <c r="S100" s="383" t="s">
        <v>730</v>
      </c>
      <c r="T100" s="382">
        <f>MAX(S82:S97)</f>
        <v>34</v>
      </c>
      <c r="U100" s="382"/>
      <c r="V100" s="382"/>
      <c r="W100" s="382"/>
      <c r="X100" s="382"/>
      <c r="Y100" s="200"/>
      <c r="Z100" s="200"/>
      <c r="AA100" s="200"/>
      <c r="AB100" s="200"/>
      <c r="AC100" s="200"/>
      <c r="AD100" s="200"/>
      <c r="AE100" s="200"/>
      <c r="AF100" s="200"/>
      <c r="AG100" s="200"/>
      <c r="AH100" s="200"/>
      <c r="AI100" s="200"/>
      <c r="AJ100" s="200"/>
      <c r="AK100" s="200"/>
      <c r="AL100" s="200"/>
      <c r="AM100" s="200"/>
      <c r="AN100" s="200"/>
      <c r="AO100" s="200"/>
      <c r="AP100" s="200"/>
      <c r="AQ100" s="200"/>
      <c r="AR100" s="200"/>
      <c r="AS100" s="200"/>
      <c r="AT100" s="200"/>
      <c r="AU100" s="200"/>
      <c r="AV100" s="200"/>
      <c r="AW100" s="200"/>
      <c r="AX100" s="200"/>
      <c r="AY100" s="200"/>
      <c r="AZ100" s="200"/>
      <c r="BA100" s="200"/>
      <c r="BB100" s="200"/>
      <c r="BC100" s="200"/>
      <c r="BD100" s="200"/>
    </row>
    <row r="101" spans="12:56" ht="14.25" hidden="1">
      <c r="L101" s="200"/>
      <c r="M101" s="200"/>
      <c r="N101" s="200"/>
      <c r="O101" s="200"/>
      <c r="P101" s="200"/>
      <c r="Q101" s="200"/>
      <c r="R101" s="384"/>
      <c r="S101" s="384"/>
      <c r="T101" s="384"/>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200"/>
      <c r="AR101" s="200"/>
      <c r="AS101" s="200"/>
      <c r="AT101" s="200"/>
      <c r="AU101" s="200"/>
      <c r="AV101" s="200"/>
      <c r="AW101" s="200"/>
      <c r="AX101" s="200"/>
      <c r="AY101" s="200"/>
      <c r="AZ101" s="200"/>
      <c r="BA101" s="200"/>
      <c r="BB101" s="200"/>
      <c r="BC101" s="200"/>
      <c r="BD101" s="200"/>
    </row>
    <row r="102" spans="12:56" ht="14.25" hidden="1">
      <c r="L102" s="200"/>
      <c r="M102" s="200"/>
      <c r="N102" s="200"/>
      <c r="O102" s="200"/>
      <c r="P102" s="200"/>
      <c r="Q102" s="200"/>
      <c r="R102" s="384"/>
      <c r="S102" s="384"/>
      <c r="T102" s="384"/>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200"/>
      <c r="AR102" s="200"/>
      <c r="AS102" s="200"/>
      <c r="AT102" s="200"/>
      <c r="AU102" s="200"/>
      <c r="AV102" s="200"/>
      <c r="AW102" s="200"/>
      <c r="AX102" s="200"/>
      <c r="AY102" s="200"/>
      <c r="AZ102" s="200"/>
      <c r="BA102" s="200"/>
      <c r="BB102" s="200"/>
      <c r="BC102" s="200"/>
      <c r="BD102" s="200"/>
    </row>
    <row r="103" spans="12:56" ht="14.25" hidden="1">
      <c r="L103" s="200"/>
      <c r="M103" s="200"/>
      <c r="N103" s="200"/>
      <c r="O103" s="200"/>
      <c r="P103" s="200"/>
      <c r="Q103" s="200"/>
      <c r="R103" s="384"/>
      <c r="S103" s="384"/>
      <c r="T103" s="384"/>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200"/>
      <c r="AR103" s="200"/>
      <c r="AS103" s="200"/>
      <c r="AT103" s="200"/>
      <c r="AU103" s="200"/>
      <c r="AV103" s="200"/>
      <c r="AW103" s="200"/>
      <c r="AX103" s="200"/>
      <c r="AY103" s="200"/>
      <c r="AZ103" s="200"/>
      <c r="BA103" s="200"/>
      <c r="BB103" s="200"/>
      <c r="BC103" s="200"/>
      <c r="BD103" s="200"/>
    </row>
    <row r="104" spans="12:56" ht="14.25" hidden="1">
      <c r="L104" s="200"/>
      <c r="M104" s="200"/>
      <c r="N104" s="200"/>
      <c r="O104" s="200"/>
      <c r="P104" s="200"/>
      <c r="Q104" s="200"/>
      <c r="R104" s="384"/>
      <c r="S104" s="384"/>
      <c r="T104" s="384"/>
      <c r="U104" s="200"/>
      <c r="V104" s="200"/>
      <c r="W104" s="200"/>
      <c r="X104" s="200"/>
      <c r="Y104" s="200"/>
      <c r="Z104" s="200"/>
      <c r="AA104" s="200"/>
      <c r="AB104" s="200"/>
      <c r="AC104" s="200"/>
      <c r="AD104" s="200"/>
      <c r="AE104" s="200"/>
      <c r="AF104" s="200"/>
      <c r="AG104" s="200"/>
      <c r="AH104" s="200"/>
      <c r="AI104" s="200"/>
      <c r="AJ104" s="200"/>
      <c r="AK104" s="200"/>
      <c r="AL104" s="200"/>
      <c r="AM104" s="200"/>
      <c r="AN104" s="200"/>
      <c r="AO104" s="200"/>
      <c r="AP104" s="200"/>
      <c r="AQ104" s="200"/>
      <c r="AR104" s="200"/>
      <c r="AS104" s="200"/>
      <c r="AT104" s="200"/>
      <c r="AU104" s="200"/>
      <c r="AV104" s="200"/>
      <c r="AW104" s="200"/>
      <c r="AX104" s="200"/>
      <c r="AY104" s="200"/>
      <c r="AZ104" s="200"/>
      <c r="BA104" s="200"/>
      <c r="BB104" s="200"/>
      <c r="BC104" s="200"/>
      <c r="BD104" s="200"/>
    </row>
    <row r="105" spans="12:56" ht="14.25" hidden="1">
      <c r="L105" s="200"/>
      <c r="M105" s="200"/>
      <c r="N105" s="200"/>
      <c r="O105" s="200"/>
      <c r="P105" s="200"/>
      <c r="Q105" s="200"/>
      <c r="R105" s="384"/>
      <c r="S105" s="1225"/>
      <c r="T105" s="1225"/>
      <c r="U105" s="200"/>
      <c r="V105" s="200"/>
      <c r="W105" s="200"/>
      <c r="X105" s="200"/>
      <c r="Y105" s="200"/>
      <c r="Z105" s="200"/>
      <c r="AA105" s="200"/>
      <c r="AB105" s="200"/>
      <c r="AC105" s="200"/>
      <c r="AD105" s="200"/>
      <c r="AE105" s="200"/>
      <c r="AF105" s="200"/>
      <c r="AG105" s="200"/>
      <c r="AH105" s="200"/>
      <c r="AI105" s="200"/>
      <c r="AJ105" s="200"/>
      <c r="AK105" s="200"/>
      <c r="AL105" s="200"/>
      <c r="AM105" s="200"/>
      <c r="AN105" s="200"/>
      <c r="AO105" s="200"/>
      <c r="AP105" s="200"/>
      <c r="AQ105" s="200"/>
      <c r="AR105" s="200"/>
      <c r="AS105" s="200"/>
      <c r="AT105" s="200"/>
      <c r="AU105" s="200"/>
      <c r="AV105" s="200"/>
      <c r="AW105" s="200"/>
      <c r="AX105" s="200"/>
      <c r="AY105" s="200"/>
      <c r="AZ105" s="200"/>
      <c r="BA105" s="200"/>
      <c r="BB105" s="200"/>
      <c r="BC105" s="200"/>
      <c r="BD105" s="200"/>
    </row>
  </sheetData>
  <sheetProtection algorithmName="SHA-512" hashValue="kv7sZ74QRqtRRty2VTBVCtPzOy3peeTWvvcY6GqSTwPj5SDPDvLbjqPhzc9xD28+WYR5HlYF6C0xGMkKWcUVZg==" saltValue="6hm6MZNrjfafTAd/A8IDQg==" spinCount="100000" sheet="1" objects="1" scenarios="1"/>
  <mergeCells count="29">
    <mergeCell ref="S105:T105"/>
    <mergeCell ref="AI64:AI65"/>
    <mergeCell ref="L78:Q81"/>
    <mergeCell ref="S78:X81"/>
    <mergeCell ref="L57:P57"/>
    <mergeCell ref="L60:P60"/>
    <mergeCell ref="L63:P63"/>
    <mergeCell ref="L66:P66"/>
    <mergeCell ref="X71:AB71"/>
    <mergeCell ref="L48:P48"/>
    <mergeCell ref="L50:P50"/>
    <mergeCell ref="AD50:AI50"/>
    <mergeCell ref="L52:P52"/>
    <mergeCell ref="X53:AB53"/>
    <mergeCell ref="L38:P38"/>
    <mergeCell ref="X40:AB40"/>
    <mergeCell ref="L41:P41"/>
    <mergeCell ref="R42:V42"/>
    <mergeCell ref="L43:O43"/>
    <mergeCell ref="L27:P27"/>
    <mergeCell ref="L29:P29"/>
    <mergeCell ref="L31:P31"/>
    <mergeCell ref="R31:V31"/>
    <mergeCell ref="R36:V36"/>
    <mergeCell ref="R25:V25"/>
    <mergeCell ref="X25:AB25"/>
    <mergeCell ref="AD25:BD25"/>
    <mergeCell ref="R26:V26"/>
    <mergeCell ref="X26:AB26"/>
  </mergeCells>
  <phoneticPr fontId="36" type="noConversion"/>
  <dataValidations count="40">
    <dataValidation type="whole" allowBlank="1" showInputMessage="1" showErrorMessage="1" errorTitle="设置值超出范围" error="预留带宽设置值超出范围" sqref="O56">
      <formula1>0</formula1>
      <formula2>U52</formula2>
    </dataValidation>
    <dataValidation type="custom" allowBlank="1" showInputMessage="1" showErrorMessage="1" error="输入参数值为1或者2" sqref="B8">
      <formula1>OR((B8=1),(B8=2))</formula1>
    </dataValidation>
    <dataValidation type="whole" allowBlank="1" showInputMessage="1" showErrorMessage="1" errorTitle="设置值超出范围" error="包间隔设置值超出范围" sqref="O55">
      <formula1>0</formula1>
      <formula2>U50</formula2>
    </dataValidation>
    <dataValidation type="custom" allowBlank="1" showInputMessage="1" showErrorMessage="1" sqref="O54">
      <formula1>AND(MOD(O54,4)=0,O54&gt;=512,O54&lt;=16384)</formula1>
    </dataValidation>
    <dataValidation type="list" allowBlank="1" showInputMessage="1" showErrorMessage="1" sqref="N26">
      <formula1>$BB$27:$BB$30</formula1>
    </dataValidation>
    <dataValidation type="custom" allowBlank="1" showInputMessage="1" showErrorMessage="1" errorTitle="输入数值非法" error="输入范围是8~图像高度最大值，步长为8" sqref="B5">
      <formula1>AND((B5&lt;=B3),(B5&gt;=2),(MOD(B5,8)=0))</formula1>
    </dataValidation>
    <dataValidation type="whole" allowBlank="1" showInputMessage="1" showErrorMessage="1" error="设置值范围为0~包间隔最大值" sqref="B17">
      <formula1>0</formula1>
      <formula2>B18</formula2>
    </dataValidation>
    <dataValidation allowBlank="1" showInputMessage="1" showErrorMessage="1" error="输入范围是64~1024，步长为2" sqref="A1:B1"/>
    <dataValidation type="custom" allowBlank="1" showInputMessage="1" showErrorMessage="1" errorTitle="输入数值非法" error="输入范围是16~图像宽度最大值，步长为16" sqref="B4">
      <formula1>AND((B4&lt;=B2),(B4&gt;=16),(MOD(B4,16)=0))</formula1>
    </dataValidation>
    <dataValidation type="list" allowBlank="1" showInputMessage="1" showErrorMessage="1" errorTitle="超出范围" error="曝光时间的范围是14us-1s" sqref="O33">
      <formula1>"Standard,Ultrashort"</formula1>
    </dataValidation>
    <dataValidation type="whole" allowBlank="1" showInputMessage="1" showErrorMessage="1" errorTitle="超出范围" error="曝光时间的范围是3us-15s" sqref="B9">
      <formula1>3</formula1>
      <formula2>15000000</formula2>
    </dataValidation>
    <dataValidation type="custom" allowBlank="1" showInputMessage="1" showErrorMessage="1" error="输入参数值为1或者2，并且当水平像素抽样不为1时不能输入" sqref="B6">
      <formula1>AND(OR((B6=1),(B6=2)),B7=1)</formula1>
    </dataValidation>
    <dataValidation type="custom" allowBlank="1" showInputMessage="1" showErrorMessage="1" error="输入参数值为1或者2，并且当水平像素抽样不为1时不能输入" sqref="B7">
      <formula1>AND(OR((B7=1),(B7=2)),B6=1)</formula1>
    </dataValidation>
    <dataValidation type="list" allowBlank="1" showInputMessage="1" showErrorMessage="1" error="请输入8,10或者12" sqref="B10">
      <formula1>"8,10,12"</formula1>
    </dataValidation>
    <dataValidation type="list" allowBlank="1" showInputMessage="1" showErrorMessage="1" error="像素格式为8，Sensor位深支持BPP8,BPP12_x000a_像素格式为10，Sensor位深支持BPP10_x000a_像素格式为12，Sensor位深支持BPP12" sqref="B11">
      <formula1>"BPP8,BPP10,BPP12"</formula1>
    </dataValidation>
    <dataValidation type="custom" allowBlank="1" showInputMessage="1" showErrorMessage="1" error="请输入10000或者1000" sqref="B12">
      <formula1>OR((B12=10000),(B12=1000))</formula1>
    </dataValidation>
    <dataValidation type="list" allowBlank="1" showInputMessage="1" showErrorMessage="1" errorTitle="超出范围" error="请输入0或者1" sqref="B13 B21">
      <formula1>"0,1"</formula1>
    </dataValidation>
    <dataValidation type="custom" allowBlank="1" showInputMessage="1" showErrorMessage="1" error="设置值范围0.1~10000.0，精确到一位小数" sqref="B14">
      <formula1>AND(TRUNC(B14,1)=B14,(B14&gt;=0.1),(B14&lt;=10000))</formula1>
    </dataValidation>
    <dataValidation type="whole" allowBlank="1" showInputMessage="1" showErrorMessage="1" error="输入范围是[0,5000]，单位为us" sqref="B20">
      <formula1>0</formula1>
      <formula2>5000</formula2>
    </dataValidation>
    <dataValidation type="whole" allowBlank="1" showInputMessage="1" showErrorMessage="1" error="设置范围为0~预留带宽最大值" sqref="B15">
      <formula1>0</formula1>
      <formula2>B16</formula2>
    </dataValidation>
    <dataValidation type="custom" allowBlank="1" showInputMessage="1" showErrorMessage="1" error="输入范围是512~8192，步长为4" sqref="B19">
      <formula1>AND((B19&lt;=8192),(B19&gt;=512),(MOD(B19,4)=0))</formula1>
    </dataValidation>
    <dataValidation type="list" allowBlank="1" showInputMessage="1" showErrorMessage="1" sqref="N25">
      <formula1>$AD$27:$AD$41</formula1>
    </dataValidation>
    <dataValidation type="whole" allowBlank="1" showInputMessage="1" showErrorMessage="1" errorTitle="超出范围" error="触发延时的范围是0-3000000us" sqref="O42">
      <formula1>0</formula1>
      <formula2>3000000</formula2>
    </dataValidation>
    <dataValidation type="list" allowBlank="1" showInputMessage="1" showErrorMessage="1" sqref="O26">
      <formula1>"BPP8,BPP10,BPP12"</formula1>
    </dataValidation>
    <dataValidation type="whole" operator="lessThanOrEqual" allowBlank="1" showInputMessage="1" showErrorMessage="1" error="Binning/Skipping系数最大为2" prompt="设置垂直Binning/Skipping时，需要同步修改垂直ROI" sqref="O62 O65">
      <formula1>2</formula1>
    </dataValidation>
    <dataValidation type="list" allowBlank="1" showInputMessage="1" showErrorMessage="1" sqref="O30">
      <formula1>"8,10,12"</formula1>
    </dataValidation>
    <dataValidation type="list" allowBlank="1" showInputMessage="1" showErrorMessage="1" errorTitle="超出范围" error="曝光时间的范围是14us-1s" sqref="O32">
      <formula1>"Timed,TriggerWidth"</formula1>
    </dataValidation>
    <dataValidation type="whole" allowBlank="1" showInputMessage="1" showErrorMessage="1" errorTitle="超出范围" error="曝光时间的范围是14us-1s" sqref="O34">
      <formula1>4</formula1>
      <formula2>1000000</formula2>
    </dataValidation>
    <dataValidation type="whole" allowBlank="1" showInputMessage="1" showErrorMessage="1" errorTitle="超出范围" error="曝光延迟的范围是0-5000us" sqref="O35">
      <formula1>0</formula1>
      <formula2>5000</formula2>
    </dataValidation>
    <dataValidation type="whole" allowBlank="1" showInputMessage="1" showErrorMessage="1" errorTitle="输入数值非法" error="最小值4，最大值D12" sqref="O36">
      <formula1>0</formula1>
      <formula2>(O47*O65+AA31+AA36+AA39)*U28/1000+1</formula2>
    </dataValidation>
    <dataValidation type="whole" allowBlank="1" showInputMessage="1" showErrorMessage="1" errorTitle="输入数值非法" error="最小值2，最大值1000000" sqref="O37">
      <formula1>0</formula1>
      <formula2>1000000</formula2>
    </dataValidation>
    <dataValidation type="whole" allowBlank="1" showInputMessage="1" showErrorMessage="1" errorTitle="输入数值非法" error="最小值4，最大值D12" sqref="O46">
      <formula1>4</formula1>
      <formula2>N46</formula2>
    </dataValidation>
    <dataValidation type="whole" allowBlank="1" showInputMessage="1" showErrorMessage="1" errorTitle="输入数值非法" error="最小值2，最大值D13" sqref="O47">
      <formula1>2</formula1>
      <formula2>N47</formula2>
    </dataValidation>
    <dataValidation type="list" allowBlank="1" showInputMessage="1" showErrorMessage="1" sqref="O49 O51 O39:O40">
      <formula1>"0,1"</formula1>
    </dataValidation>
    <dataValidation type="list" allowBlank="1" showInputMessage="1" showErrorMessage="1" sqref="O53">
      <formula1>"1000,10000"</formula1>
    </dataValidation>
    <dataValidation type="list" allowBlank="1" showInputMessage="1" showErrorMessage="1" errorTitle="超出范围" error="0:关闭_x000a_1:打开" sqref="O58">
      <formula1>"0,1"</formula1>
    </dataValidation>
    <dataValidation type="decimal" allowBlank="1" showInputMessage="1" showErrorMessage="1" sqref="O59">
      <formula1>0.1</formula1>
      <formula2>10000</formula2>
    </dataValidation>
    <dataValidation type="whole" operator="lessThanOrEqual" allowBlank="1" showInputMessage="1" showErrorMessage="1" error="Binning/Skipping系数最大为2" prompt="设置水平Binning/Skipping时，需要同步修改水平ROI" sqref="O61 O64">
      <formula1>2</formula1>
    </dataValidation>
    <dataValidation allowBlank="1" showErrorMessage="1" promptTitle="参数变化" prompt="该参数会根据当前生效的水平像素Binning、水平像素抽样变化" sqref="B2:B3"/>
    <dataValidation type="whole" operator="lessThanOrEqual" allowBlank="1" showInputMessage="1" showErrorMessage="1" sqref="O44:O45">
      <formula1>N46</formula1>
    </dataValidation>
  </dataValidations>
  <pageMargins left="0.75" right="0.75" top="1" bottom="1" header="0.5" footer="0.5"/>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V149"/>
  <sheetViews>
    <sheetView workbookViewId="0">
      <selection activeCell="B13" sqref="B13"/>
    </sheetView>
  </sheetViews>
  <sheetFormatPr defaultColWidth="9" defaultRowHeight="30" customHeight="1"/>
  <cols>
    <col min="1" max="1" width="28.625" style="200" customWidth="1"/>
    <col min="2" max="2" width="31.25" style="200" customWidth="1"/>
    <col min="3" max="3" width="14.875" style="200" customWidth="1"/>
    <col min="4" max="4" width="18.25" style="200" customWidth="1"/>
    <col min="5" max="5" width="6.75" style="200" customWidth="1"/>
    <col min="6" max="6" width="4.5" style="200" customWidth="1"/>
    <col min="7" max="7" width="17.75" style="200" customWidth="1"/>
    <col min="8" max="8" width="15.75" style="200" customWidth="1"/>
    <col min="9" max="9" width="57.375" style="200" customWidth="1"/>
    <col min="10" max="10" width="18.25" style="200" customWidth="1"/>
    <col min="11" max="12" width="4.5" style="200" customWidth="1"/>
    <col min="13" max="13" width="25.625" style="200" customWidth="1"/>
    <col min="14" max="14" width="22.875" style="200" customWidth="1"/>
    <col min="15" max="15" width="43.5" style="200" customWidth="1"/>
    <col min="16" max="16" width="10.25" style="200" customWidth="1"/>
    <col min="17" max="17" width="6.375" style="200" customWidth="1"/>
    <col min="18" max="18" width="4.875" style="200" customWidth="1"/>
    <col min="19" max="19" width="26.5" style="200" customWidth="1"/>
    <col min="20" max="20" width="13.125" style="200" customWidth="1"/>
    <col min="21" max="21" width="20.625" style="200" customWidth="1"/>
    <col min="22" max="22" width="23.375" style="200" customWidth="1"/>
    <col min="23" max="23" width="14.125" style="200" customWidth="1"/>
    <col min="24" max="24" width="18.875" style="200" customWidth="1"/>
    <col min="25" max="25" width="12" style="200" customWidth="1"/>
    <col min="26" max="26" width="14" style="200" customWidth="1"/>
    <col min="27" max="27" width="17" style="200" customWidth="1"/>
    <col min="28" max="28" width="20.375" style="200" customWidth="1"/>
    <col min="29" max="29" width="21" style="200" customWidth="1"/>
    <col min="30" max="30" width="20.25" style="200" customWidth="1"/>
    <col min="31" max="31" width="21.5" style="200" customWidth="1"/>
    <col min="32" max="32" width="24.125" style="200" customWidth="1"/>
    <col min="33" max="33" width="11.625" style="200" customWidth="1"/>
    <col min="34" max="34" width="21.625" style="200" customWidth="1"/>
    <col min="35" max="35" width="17.25" style="200" customWidth="1"/>
    <col min="36" max="36" width="13.5" style="200" customWidth="1"/>
    <col min="37" max="37" width="12.875" style="200" customWidth="1"/>
    <col min="38" max="40" width="21.625" style="200" customWidth="1"/>
    <col min="41" max="41" width="19.375" style="200" customWidth="1"/>
    <col min="42" max="46" width="20.25" style="200" customWidth="1"/>
    <col min="47" max="47" width="23" style="200" customWidth="1"/>
    <col min="48" max="48" width="18.375" style="200" customWidth="1"/>
    <col min="49" max="16384" width="9" style="200"/>
  </cols>
  <sheetData>
    <row r="1" spans="1:3" s="403" customFormat="1" ht="13.5">
      <c r="A1" s="198" t="s">
        <v>16</v>
      </c>
      <c r="B1" s="199"/>
    </row>
    <row r="2" spans="1:3" s="403" customFormat="1" ht="13.5">
      <c r="A2" s="198" t="s">
        <v>17</v>
      </c>
      <c r="B2" s="198">
        <f>IF(C30=1,C28,C26)</f>
        <v>4496</v>
      </c>
    </row>
    <row r="3" spans="1:3" s="403" customFormat="1" ht="13.5">
      <c r="A3" s="198" t="s">
        <v>18</v>
      </c>
      <c r="B3" s="198">
        <f>IF(C31=1,C29,C27)</f>
        <v>4096</v>
      </c>
    </row>
    <row r="4" spans="1:3" s="403" customFormat="1" ht="13.5">
      <c r="A4" s="198" t="s">
        <v>19</v>
      </c>
      <c r="B4" s="199">
        <v>4496</v>
      </c>
      <c r="C4" s="405" t="str">
        <f>IF(OR(B4&gt;B2,B4&lt;4),I25,"")</f>
        <v/>
      </c>
    </row>
    <row r="5" spans="1:3" s="403" customFormat="1" ht="13.5">
      <c r="A5" s="198" t="s">
        <v>20</v>
      </c>
      <c r="B5" s="199">
        <v>4096</v>
      </c>
      <c r="C5" s="405" t="str">
        <f>IF(OR(B5&gt;B3,B5&lt;2),I26,"")</f>
        <v/>
      </c>
    </row>
    <row r="6" spans="1:3" s="403" customFormat="1" ht="13.5">
      <c r="A6" s="198" t="s">
        <v>21</v>
      </c>
      <c r="B6" s="199">
        <v>1</v>
      </c>
      <c r="C6" s="405"/>
    </row>
    <row r="7" spans="1:3" s="403" customFormat="1" ht="13.5">
      <c r="A7" s="198" t="s">
        <v>23</v>
      </c>
      <c r="B7" s="199">
        <v>1</v>
      </c>
    </row>
    <row r="8" spans="1:3" s="403" customFormat="1" ht="13.5">
      <c r="A8" s="198" t="s">
        <v>24</v>
      </c>
      <c r="B8" s="199">
        <v>1</v>
      </c>
    </row>
    <row r="9" spans="1:3" s="403" customFormat="1" ht="13.5">
      <c r="A9" s="198" t="s">
        <v>25</v>
      </c>
      <c r="B9" s="199">
        <v>10000</v>
      </c>
    </row>
    <row r="10" spans="1:3" s="403" customFormat="1" ht="13.5">
      <c r="A10" s="198" t="s">
        <v>26</v>
      </c>
      <c r="B10" s="199">
        <v>8</v>
      </c>
    </row>
    <row r="11" spans="1:3" s="403" customFormat="1" ht="13.5">
      <c r="A11" s="198" t="s">
        <v>27</v>
      </c>
      <c r="B11" s="199">
        <v>10000</v>
      </c>
    </row>
    <row r="12" spans="1:3" s="403" customFormat="1" ht="13.5">
      <c r="A12" s="198" t="s">
        <v>28</v>
      </c>
      <c r="B12" s="199">
        <v>0</v>
      </c>
    </row>
    <row r="13" spans="1:3" s="403" customFormat="1" ht="13.5">
      <c r="A13" s="198" t="s">
        <v>29</v>
      </c>
      <c r="B13" s="199">
        <v>63</v>
      </c>
    </row>
    <row r="14" spans="1:3" s="403" customFormat="1" ht="13.5">
      <c r="A14" s="198" t="s">
        <v>30</v>
      </c>
      <c r="B14" s="199">
        <v>2</v>
      </c>
    </row>
    <row r="15" spans="1:3" s="403" customFormat="1" ht="13.5">
      <c r="A15" s="198" t="s">
        <v>31</v>
      </c>
      <c r="B15" s="198">
        <f>J66</f>
        <v>99</v>
      </c>
    </row>
    <row r="16" spans="1:3" s="403" customFormat="1" ht="13.5">
      <c r="A16" s="198" t="s">
        <v>32</v>
      </c>
      <c r="B16" s="199">
        <v>0</v>
      </c>
    </row>
    <row r="17" spans="1:11" s="403" customFormat="1" ht="13.5">
      <c r="A17" s="198" t="s">
        <v>33</v>
      </c>
      <c r="B17" s="198">
        <f>J64</f>
        <v>4314442</v>
      </c>
    </row>
    <row r="18" spans="1:11" s="403" customFormat="1" ht="13.5">
      <c r="A18" s="198" t="s">
        <v>34</v>
      </c>
      <c r="B18" s="199">
        <v>8164</v>
      </c>
    </row>
    <row r="19" spans="1:11" s="403" customFormat="1" ht="13.5">
      <c r="A19" s="198" t="s">
        <v>35</v>
      </c>
      <c r="B19" s="199">
        <v>0</v>
      </c>
    </row>
    <row r="20" spans="1:11" s="403" customFormat="1" ht="13.5">
      <c r="A20" s="198" t="s">
        <v>36</v>
      </c>
      <c r="B20" s="199">
        <v>0</v>
      </c>
    </row>
    <row r="21" spans="1:11" s="403" customFormat="1" ht="13.5">
      <c r="A21" s="198"/>
      <c r="B21" s="199"/>
    </row>
    <row r="22" spans="1:11" s="403" customFormat="1" ht="13.5">
      <c r="A22" s="198" t="s">
        <v>37</v>
      </c>
      <c r="B22" s="198">
        <f>D81</f>
        <v>63.787714486189962</v>
      </c>
      <c r="C22" s="405" t="str">
        <f>IF(I31,I27,"")</f>
        <v/>
      </c>
    </row>
    <row r="23" spans="1:11" ht="30" hidden="1" customHeight="1">
      <c r="A23" s="403"/>
      <c r="B23" s="403"/>
      <c r="C23" s="403"/>
      <c r="D23" s="403"/>
      <c r="E23" s="403"/>
      <c r="F23" s="403"/>
      <c r="G23" s="403"/>
      <c r="H23" s="403"/>
      <c r="I23" s="403"/>
      <c r="J23" s="403"/>
      <c r="K23" s="403"/>
    </row>
    <row r="24" spans="1:11" ht="30" hidden="1" customHeight="1">
      <c r="A24" s="403"/>
      <c r="B24" s="403"/>
      <c r="C24" s="403"/>
      <c r="D24" s="403"/>
      <c r="E24" s="403"/>
      <c r="F24" s="403"/>
      <c r="G24" s="403"/>
      <c r="H24" s="403"/>
      <c r="I24" t="s">
        <v>400</v>
      </c>
      <c r="J24" s="403"/>
      <c r="K24" s="403"/>
    </row>
    <row r="25" spans="1:11" ht="30" hidden="1" customHeight="1">
      <c r="A25" s="403"/>
      <c r="B25" s="403"/>
      <c r="C25" s="403"/>
      <c r="D25" s="403"/>
      <c r="E25" s="403"/>
      <c r="F25" s="403"/>
      <c r="G25" s="403"/>
      <c r="H25" s="403"/>
      <c r="I25" t="s">
        <v>401</v>
      </c>
      <c r="J25" s="403"/>
      <c r="K25" s="403"/>
    </row>
    <row r="26" spans="1:11" s="403" customFormat="1" ht="27" hidden="1">
      <c r="A26" s="198" t="s">
        <v>40</v>
      </c>
      <c r="B26" s="198"/>
      <c r="C26" s="198">
        <f>ROUNDDOWN(C28/2/16,0)*16</f>
        <v>2240</v>
      </c>
      <c r="I26" s="403" t="s">
        <v>402</v>
      </c>
    </row>
    <row r="27" spans="1:11" s="403" customFormat="1" ht="27" hidden="1">
      <c r="A27" s="198" t="s">
        <v>42</v>
      </c>
      <c r="B27" s="198"/>
      <c r="C27" s="198">
        <f>C29/2</f>
        <v>2048</v>
      </c>
      <c r="I27" s="403" t="s">
        <v>403</v>
      </c>
    </row>
    <row r="28" spans="1:11" s="403" customFormat="1" ht="13.5" hidden="1">
      <c r="A28" s="198" t="s">
        <v>44</v>
      </c>
      <c r="B28" s="198"/>
      <c r="C28" s="198">
        <f>C60</f>
        <v>4496</v>
      </c>
    </row>
    <row r="29" spans="1:11" s="403" customFormat="1" ht="13.5" hidden="1">
      <c r="A29" s="198" t="s">
        <v>45</v>
      </c>
      <c r="B29" s="198"/>
      <c r="C29" s="198">
        <f>C61</f>
        <v>4096</v>
      </c>
    </row>
    <row r="30" spans="1:11" s="403" customFormat="1" ht="13.5" hidden="1">
      <c r="A30" s="198" t="s">
        <v>46</v>
      </c>
      <c r="B30" s="198"/>
      <c r="C30" s="198">
        <f>IF(B6=1,B7,B6)</f>
        <v>1</v>
      </c>
      <c r="I30" s="403" t="s">
        <v>404</v>
      </c>
    </row>
    <row r="31" spans="1:11" s="403" customFormat="1" ht="13.5" hidden="1">
      <c r="A31" s="198" t="s">
        <v>48</v>
      </c>
      <c r="B31" s="198"/>
      <c r="C31" s="198">
        <f>B8</f>
        <v>1</v>
      </c>
      <c r="I31" s="403">
        <f>IF(OR(OR(B4&gt;B2,B4&lt;4),OR(B5&gt;B3,B5&lt;2)),1,0)</f>
        <v>0</v>
      </c>
    </row>
    <row r="32" spans="1:11" ht="30" hidden="1" customHeight="1"/>
    <row r="33" spans="1:48" ht="30" hidden="1" customHeight="1"/>
    <row r="34" spans="1:48" ht="30" hidden="1" customHeight="1"/>
    <row r="35" spans="1:48" ht="30" hidden="1" customHeight="1"/>
    <row r="36" spans="1:48" ht="30" hidden="1" customHeight="1"/>
    <row r="37" spans="1:48" ht="30" hidden="1" customHeight="1"/>
    <row r="38" spans="1:48" ht="30" hidden="1" customHeight="1"/>
    <row r="39" spans="1:48" ht="30" hidden="1" customHeight="1"/>
    <row r="40" spans="1:48" ht="30" hidden="1" customHeight="1">
      <c r="A40" s="201" t="s">
        <v>49</v>
      </c>
      <c r="B40" s="201" t="s">
        <v>50</v>
      </c>
      <c r="C40" s="202" t="s">
        <v>410</v>
      </c>
      <c r="D40" s="203"/>
      <c r="E40" s="203"/>
      <c r="F40" s="203"/>
      <c r="G40" s="1202" t="s">
        <v>52</v>
      </c>
      <c r="H40" s="1203"/>
      <c r="I40" s="1203"/>
      <c r="J40" s="1203"/>
      <c r="K40" s="1204"/>
      <c r="L40" s="259"/>
      <c r="M40" s="1202" t="s">
        <v>53</v>
      </c>
      <c r="N40" s="1203"/>
      <c r="O40" s="1203"/>
      <c r="P40" s="1203"/>
      <c r="Q40" s="1204"/>
      <c r="R40" s="259"/>
      <c r="S40" s="1205" t="s">
        <v>54</v>
      </c>
      <c r="T40" s="1206"/>
      <c r="U40" s="1206"/>
      <c r="V40" s="1206"/>
      <c r="W40" s="1206"/>
      <c r="X40" s="1206"/>
      <c r="Y40" s="1206"/>
      <c r="Z40" s="1206"/>
      <c r="AA40" s="1206"/>
      <c r="AB40" s="1206"/>
      <c r="AC40" s="1206"/>
      <c r="AD40" s="1206"/>
      <c r="AE40" s="1206"/>
      <c r="AF40" s="1206"/>
      <c r="AG40" s="1206"/>
      <c r="AH40" s="1206"/>
      <c r="AI40" s="1206"/>
      <c r="AJ40" s="1206"/>
      <c r="AK40" s="1206"/>
      <c r="AL40" s="1206"/>
      <c r="AM40" s="1206"/>
      <c r="AN40" s="1206"/>
      <c r="AO40" s="1206"/>
      <c r="AP40" s="1206"/>
      <c r="AQ40" s="1206"/>
      <c r="AR40" s="1206"/>
      <c r="AS40" s="1206"/>
      <c r="AT40" s="1206"/>
      <c r="AU40" s="1206"/>
      <c r="AV40" s="1207"/>
    </row>
    <row r="41" spans="1:48" ht="30" hidden="1" customHeight="1">
      <c r="A41" s="201" t="s">
        <v>55</v>
      </c>
      <c r="B41" s="201" t="s">
        <v>56</v>
      </c>
      <c r="C41" s="202" t="s">
        <v>100</v>
      </c>
      <c r="D41" s="203"/>
      <c r="E41" s="203"/>
      <c r="F41" s="203"/>
      <c r="G41" s="1208" t="s">
        <v>58</v>
      </c>
      <c r="H41" s="1209"/>
      <c r="I41" s="1209"/>
      <c r="J41" s="1209"/>
      <c r="K41" s="1210"/>
      <c r="L41" s="259"/>
      <c r="M41" s="1208" t="s">
        <v>59</v>
      </c>
      <c r="N41" s="1209"/>
      <c r="O41" s="1209"/>
      <c r="P41" s="1209"/>
      <c r="Q41" s="1210"/>
      <c r="R41" s="259"/>
      <c r="S41" s="306" t="s">
        <v>60</v>
      </c>
      <c r="T41" s="307" t="s">
        <v>61</v>
      </c>
      <c r="U41" s="307" t="s">
        <v>62</v>
      </c>
      <c r="V41" s="307" t="s">
        <v>63</v>
      </c>
      <c r="W41" s="307" t="s">
        <v>64</v>
      </c>
      <c r="X41" s="307" t="s">
        <v>65</v>
      </c>
      <c r="Y41" s="307" t="s">
        <v>66</v>
      </c>
      <c r="Z41" s="307" t="s">
        <v>67</v>
      </c>
      <c r="AA41" s="307" t="s">
        <v>68</v>
      </c>
      <c r="AB41" s="307" t="s">
        <v>69</v>
      </c>
      <c r="AC41" s="307" t="s">
        <v>70</v>
      </c>
      <c r="AD41" s="307" t="s">
        <v>71</v>
      </c>
      <c r="AE41" s="307" t="s">
        <v>72</v>
      </c>
      <c r="AF41" s="307" t="s">
        <v>73</v>
      </c>
      <c r="AG41" s="307" t="s">
        <v>74</v>
      </c>
      <c r="AH41" s="307" t="s">
        <v>75</v>
      </c>
      <c r="AI41" s="307" t="s">
        <v>76</v>
      </c>
      <c r="AJ41" s="307" t="s">
        <v>77</v>
      </c>
      <c r="AK41" s="307" t="s">
        <v>78</v>
      </c>
      <c r="AL41" s="307" t="s">
        <v>79</v>
      </c>
      <c r="AM41" s="347" t="s">
        <v>80</v>
      </c>
      <c r="AN41" s="307" t="s">
        <v>81</v>
      </c>
      <c r="AO41" s="307" t="s">
        <v>82</v>
      </c>
      <c r="AP41" s="307" t="s">
        <v>83</v>
      </c>
      <c r="AQ41" s="307" t="s">
        <v>84</v>
      </c>
      <c r="AR41" s="307" t="s">
        <v>85</v>
      </c>
      <c r="AS41" s="358" t="s">
        <v>86</v>
      </c>
      <c r="AT41" s="307" t="s">
        <v>87</v>
      </c>
      <c r="AU41" s="307" t="s">
        <v>88</v>
      </c>
      <c r="AV41" s="360" t="s">
        <v>89</v>
      </c>
    </row>
    <row r="42" spans="1:48" ht="30" hidden="1" customHeight="1">
      <c r="A42" s="1202" t="s">
        <v>90</v>
      </c>
      <c r="B42" s="1203"/>
      <c r="C42" s="1203"/>
      <c r="D42" s="1203"/>
      <c r="E42" s="1204"/>
      <c r="F42" s="203"/>
      <c r="G42" s="260" t="s">
        <v>91</v>
      </c>
      <c r="H42" s="261" t="s">
        <v>92</v>
      </c>
      <c r="I42" s="261" t="s">
        <v>93</v>
      </c>
      <c r="J42" s="261" t="s">
        <v>94</v>
      </c>
      <c r="K42" s="262" t="s">
        <v>95</v>
      </c>
      <c r="L42" s="259"/>
      <c r="M42" s="204" t="s">
        <v>91</v>
      </c>
      <c r="N42" s="205" t="s">
        <v>92</v>
      </c>
      <c r="O42" s="205" t="s">
        <v>93</v>
      </c>
      <c r="P42" s="205" t="s">
        <v>96</v>
      </c>
      <c r="Q42" s="308" t="s">
        <v>95</v>
      </c>
      <c r="R42" s="259"/>
      <c r="S42" s="309" t="s">
        <v>405</v>
      </c>
      <c r="T42" s="310" t="s">
        <v>98</v>
      </c>
      <c r="U42" s="310">
        <v>80</v>
      </c>
      <c r="V42" s="333">
        <v>80</v>
      </c>
      <c r="W42" s="334">
        <v>1</v>
      </c>
      <c r="X42" s="333">
        <v>16</v>
      </c>
      <c r="Y42" s="334">
        <v>128</v>
      </c>
      <c r="Z42" s="334">
        <v>4</v>
      </c>
      <c r="AA42" s="310">
        <v>5376</v>
      </c>
      <c r="AB42" s="310">
        <v>1</v>
      </c>
      <c r="AC42" s="310">
        <v>5376</v>
      </c>
      <c r="AD42" s="310">
        <v>5184</v>
      </c>
      <c r="AE42" s="333">
        <f>ROUNDUP((6*AF42/V42)*1000,0)+ROUNDUP(3*$J$43,0)</f>
        <v>20700</v>
      </c>
      <c r="AF42" s="348">
        <f>IF(D45=8,124,248)</f>
        <v>124</v>
      </c>
      <c r="AG42" s="348">
        <v>3</v>
      </c>
      <c r="AH42" s="348">
        <v>3</v>
      </c>
      <c r="AI42" s="348">
        <v>636</v>
      </c>
      <c r="AJ42" s="348">
        <v>6</v>
      </c>
      <c r="AK42" s="348">
        <v>14</v>
      </c>
      <c r="AL42" s="310">
        <v>1</v>
      </c>
      <c r="AM42" s="350" t="s">
        <v>99</v>
      </c>
      <c r="AN42" s="333">
        <v>20000</v>
      </c>
      <c r="AO42" s="348">
        <v>5120</v>
      </c>
      <c r="AP42" s="348">
        <v>5120</v>
      </c>
      <c r="AQ42" s="310">
        <v>42</v>
      </c>
      <c r="AR42" s="310">
        <v>1</v>
      </c>
      <c r="AS42" s="361">
        <v>156.25</v>
      </c>
      <c r="AT42" s="310">
        <v>1</v>
      </c>
      <c r="AU42" s="310" t="s">
        <v>100</v>
      </c>
      <c r="AV42" s="363">
        <v>0</v>
      </c>
    </row>
    <row r="43" spans="1:48" ht="30" hidden="1" customHeight="1">
      <c r="A43" s="204" t="s">
        <v>91</v>
      </c>
      <c r="B43" s="205" t="s">
        <v>92</v>
      </c>
      <c r="C43" s="205" t="s">
        <v>101</v>
      </c>
      <c r="D43" s="205" t="s">
        <v>102</v>
      </c>
      <c r="E43" s="206" t="s">
        <v>95</v>
      </c>
      <c r="F43" s="203"/>
      <c r="G43" s="211" t="s">
        <v>103</v>
      </c>
      <c r="H43" s="212" t="s">
        <v>104</v>
      </c>
      <c r="I43" s="251" t="s">
        <v>105</v>
      </c>
      <c r="J43" s="263">
        <f>ROUNDUP(1000*P46*P44/P43,0)</f>
        <v>3800</v>
      </c>
      <c r="K43" s="211" t="s">
        <v>106</v>
      </c>
      <c r="L43" s="259"/>
      <c r="M43" s="211" t="s">
        <v>107</v>
      </c>
      <c r="N43" s="212" t="s">
        <v>108</v>
      </c>
      <c r="O43" s="212" t="s">
        <v>109</v>
      </c>
      <c r="P43" s="311">
        <f>VLOOKUP($C$40,$S$42:$AU$59,4,FALSE)</f>
        <v>80</v>
      </c>
      <c r="Q43" s="312" t="s">
        <v>110</v>
      </c>
      <c r="R43" s="259"/>
      <c r="S43" s="396" t="s">
        <v>406</v>
      </c>
      <c r="T43" s="268" t="s">
        <v>407</v>
      </c>
      <c r="U43" s="268">
        <v>80</v>
      </c>
      <c r="V43" s="268">
        <v>80</v>
      </c>
      <c r="W43" s="316">
        <v>1</v>
      </c>
      <c r="X43" s="316">
        <v>20</v>
      </c>
      <c r="Y43" s="316">
        <v>100</v>
      </c>
      <c r="Z43" s="316">
        <v>4</v>
      </c>
      <c r="AA43" s="268">
        <v>2800</v>
      </c>
      <c r="AB43" s="268">
        <v>1</v>
      </c>
      <c r="AC43" s="268">
        <v>2800</v>
      </c>
      <c r="AD43" s="268">
        <v>2224</v>
      </c>
      <c r="AE43" s="399">
        <f>ROUNDUP(AF43*1000/V43,0)+ROUNDUP(9*AG43*AF43*1000/V43,0)</f>
        <v>22000</v>
      </c>
      <c r="AF43" s="397">
        <f>IF(D45=8,176,352)</f>
        <v>176</v>
      </c>
      <c r="AG43" s="397">
        <v>1</v>
      </c>
      <c r="AH43" s="398">
        <v>3</v>
      </c>
      <c r="AI43" s="397">
        <v>119</v>
      </c>
      <c r="AJ43" s="397">
        <v>6</v>
      </c>
      <c r="AK43" s="398">
        <v>14</v>
      </c>
      <c r="AL43" s="399">
        <v>1</v>
      </c>
      <c r="AM43" s="567" t="s">
        <v>99</v>
      </c>
      <c r="AN43" s="399">
        <v>10000</v>
      </c>
      <c r="AO43" s="397">
        <v>2592</v>
      </c>
      <c r="AP43" s="397">
        <v>2160</v>
      </c>
      <c r="AQ43" s="399">
        <v>200</v>
      </c>
      <c r="AR43" s="268">
        <v>1</v>
      </c>
      <c r="AS43" s="568">
        <v>156.25</v>
      </c>
      <c r="AT43" s="399">
        <v>1</v>
      </c>
      <c r="AU43" s="399" t="s">
        <v>100</v>
      </c>
      <c r="AV43" s="402">
        <v>0</v>
      </c>
    </row>
    <row r="44" spans="1:48" ht="115.5" hidden="1" customHeight="1">
      <c r="A44" s="1208" t="s">
        <v>113</v>
      </c>
      <c r="B44" s="1209"/>
      <c r="C44" s="1209"/>
      <c r="D44" s="1209"/>
      <c r="E44" s="1210"/>
      <c r="F44" s="203"/>
      <c r="G44" s="264" t="s">
        <v>114</v>
      </c>
      <c r="H44" s="227" t="s">
        <v>115</v>
      </c>
      <c r="I44" s="220" t="s">
        <v>116</v>
      </c>
      <c r="J44" s="265">
        <f>IF(D53=0,MAX(J47,J48,J49,J50)+J55,IF(D47="TriggerWidth",MAX(J47,J49,J68),IF(D54=0,MAX(J47,J48,J49)+J55,MAX(J47,J48,J49,J50)+J55)))</f>
        <v>15677</v>
      </c>
      <c r="K44" s="264" t="s">
        <v>117</v>
      </c>
      <c r="M44" s="264" t="s">
        <v>118</v>
      </c>
      <c r="N44" s="227" t="s">
        <v>118</v>
      </c>
      <c r="O44" s="227" t="s">
        <v>109</v>
      </c>
      <c r="P44" s="321">
        <f>VLOOKUP($C$40,$S$42:$AU$59,14,FALSE)</f>
        <v>152</v>
      </c>
      <c r="Q44" s="317" t="s">
        <v>119</v>
      </c>
      <c r="S44" s="396" t="s">
        <v>408</v>
      </c>
      <c r="T44" s="268" t="s">
        <v>409</v>
      </c>
      <c r="U44" s="268">
        <v>80</v>
      </c>
      <c r="V44" s="268">
        <v>80</v>
      </c>
      <c r="W44" s="316">
        <v>1</v>
      </c>
      <c r="X44" s="316">
        <v>16</v>
      </c>
      <c r="Y44" s="316">
        <v>140</v>
      </c>
      <c r="Z44" s="316">
        <v>4</v>
      </c>
      <c r="AA44" s="268">
        <v>4480</v>
      </c>
      <c r="AB44" s="268">
        <v>1</v>
      </c>
      <c r="AC44" s="268">
        <v>4480</v>
      </c>
      <c r="AD44" s="268">
        <v>2224</v>
      </c>
      <c r="AE44" s="399">
        <f>ROUNDUP(AF44*1000/V44,0)+ROUNDUP(9*AG44*AF44*1000/V44,0)</f>
        <v>36100</v>
      </c>
      <c r="AF44" s="397">
        <f>IF(D45=8,152,304)</f>
        <v>152</v>
      </c>
      <c r="AG44" s="397">
        <v>2</v>
      </c>
      <c r="AH44" s="398">
        <v>3</v>
      </c>
      <c r="AI44" s="397">
        <v>119</v>
      </c>
      <c r="AJ44" s="397">
        <v>6</v>
      </c>
      <c r="AK44" s="398">
        <v>14</v>
      </c>
      <c r="AL44" s="399">
        <v>1</v>
      </c>
      <c r="AM44" s="567" t="s">
        <v>99</v>
      </c>
      <c r="AN44" s="399">
        <v>10000</v>
      </c>
      <c r="AO44" s="397">
        <v>4192</v>
      </c>
      <c r="AP44" s="397">
        <v>2160</v>
      </c>
      <c r="AQ44" s="399">
        <v>117</v>
      </c>
      <c r="AR44" s="268">
        <v>1</v>
      </c>
      <c r="AS44" s="568">
        <v>156.25</v>
      </c>
      <c r="AT44" s="399">
        <v>1</v>
      </c>
      <c r="AU44" s="399" t="s">
        <v>100</v>
      </c>
      <c r="AV44" s="402">
        <v>0</v>
      </c>
    </row>
    <row r="45" spans="1:48" ht="30" hidden="1" customHeight="1">
      <c r="A45" s="207" t="s">
        <v>121</v>
      </c>
      <c r="B45" s="208" t="s">
        <v>113</v>
      </c>
      <c r="C45" s="208">
        <v>8</v>
      </c>
      <c r="D45" s="209">
        <f>B10</f>
        <v>8</v>
      </c>
      <c r="E45" s="210" t="s">
        <v>122</v>
      </c>
      <c r="F45" s="203"/>
      <c r="G45" s="216" t="s">
        <v>123</v>
      </c>
      <c r="H45" s="217" t="s">
        <v>58</v>
      </c>
      <c r="I45" s="225" t="s">
        <v>124</v>
      </c>
      <c r="J45" s="266">
        <f>1000000/J44</f>
        <v>63.787714486189962</v>
      </c>
      <c r="K45" s="216" t="s">
        <v>125</v>
      </c>
      <c r="M45" s="264" t="s">
        <v>126</v>
      </c>
      <c r="N45" s="227" t="s">
        <v>127</v>
      </c>
      <c r="O45" s="227" t="s">
        <v>109</v>
      </c>
      <c r="P45" s="321">
        <f>VLOOKUP($C$40,$S$42:$AU$59,13,FALSE)</f>
        <v>51300</v>
      </c>
      <c r="Q45" s="317" t="s">
        <v>106</v>
      </c>
      <c r="S45" s="318" t="s">
        <v>410</v>
      </c>
      <c r="T45" s="319" t="s">
        <v>411</v>
      </c>
      <c r="U45" s="319">
        <v>80</v>
      </c>
      <c r="V45" s="319">
        <v>80</v>
      </c>
      <c r="W45" s="335">
        <v>1</v>
      </c>
      <c r="X45" s="335">
        <v>16</v>
      </c>
      <c r="Y45" s="335">
        <v>114</v>
      </c>
      <c r="Z45" s="335">
        <v>6</v>
      </c>
      <c r="AA45" s="319">
        <v>4736</v>
      </c>
      <c r="AB45" s="319">
        <v>1</v>
      </c>
      <c r="AC45" s="319">
        <v>4736</v>
      </c>
      <c r="AD45" s="319">
        <v>4162</v>
      </c>
      <c r="AE45" s="399">
        <f>ROUNDUP(7*AF45*1000/V45,0)+ROUNDUP(10*AG45*AF45*1000/V45,0)</f>
        <v>51300</v>
      </c>
      <c r="AF45" s="357">
        <f>IF(D45=8,152,304)</f>
        <v>152</v>
      </c>
      <c r="AG45" s="357">
        <v>2</v>
      </c>
      <c r="AH45" s="357">
        <v>3</v>
      </c>
      <c r="AI45" s="357">
        <v>636</v>
      </c>
      <c r="AJ45" s="357">
        <v>6</v>
      </c>
      <c r="AK45" s="357">
        <v>14</v>
      </c>
      <c r="AL45" s="319">
        <v>1</v>
      </c>
      <c r="AM45" s="319" t="s">
        <v>99</v>
      </c>
      <c r="AN45" s="319">
        <v>10000</v>
      </c>
      <c r="AO45" s="357">
        <v>4496</v>
      </c>
      <c r="AP45" s="357">
        <v>4096</v>
      </c>
      <c r="AQ45" s="319">
        <v>61</v>
      </c>
      <c r="AR45" s="319">
        <v>1</v>
      </c>
      <c r="AS45" s="371">
        <v>156.25</v>
      </c>
      <c r="AT45" s="319">
        <v>1</v>
      </c>
      <c r="AU45" s="319" t="s">
        <v>100</v>
      </c>
      <c r="AV45" s="373">
        <v>0</v>
      </c>
    </row>
    <row r="46" spans="1:48" ht="30" hidden="1" customHeight="1">
      <c r="A46" s="1208" t="s">
        <v>128</v>
      </c>
      <c r="B46" s="1209"/>
      <c r="C46" s="1209"/>
      <c r="D46" s="1209"/>
      <c r="E46" s="1210"/>
      <c r="F46" s="203"/>
      <c r="G46" s="1208" t="s">
        <v>129</v>
      </c>
      <c r="H46" s="1209"/>
      <c r="I46" s="1209"/>
      <c r="J46" s="1209"/>
      <c r="K46" s="1210"/>
      <c r="M46" s="264" t="s">
        <v>130</v>
      </c>
      <c r="N46" s="227" t="s">
        <v>131</v>
      </c>
      <c r="O46" s="227" t="s">
        <v>109</v>
      </c>
      <c r="P46" s="321">
        <f>VLOOKUP($C$40,$S$42:$AU$59,15,FALSE)</f>
        <v>2</v>
      </c>
      <c r="Q46" s="317" t="s">
        <v>122</v>
      </c>
      <c r="S46" s="259"/>
      <c r="T46" s="259"/>
      <c r="U46" s="259"/>
      <c r="V46" s="259"/>
      <c r="W46" s="259"/>
      <c r="X46" s="259"/>
      <c r="Y46" s="259"/>
      <c r="Z46" s="259"/>
    </row>
    <row r="47" spans="1:48" ht="30" hidden="1" customHeight="1">
      <c r="A47" s="211" t="s">
        <v>132</v>
      </c>
      <c r="B47" s="212" t="s">
        <v>133</v>
      </c>
      <c r="C47" s="212" t="s">
        <v>134</v>
      </c>
      <c r="D47" s="213" t="s">
        <v>134</v>
      </c>
      <c r="E47" s="214"/>
      <c r="F47" s="203"/>
      <c r="G47" s="211" t="s">
        <v>135</v>
      </c>
      <c r="H47" s="212" t="s">
        <v>136</v>
      </c>
      <c r="I47" s="251" t="s">
        <v>137</v>
      </c>
      <c r="J47" s="263">
        <f>ROUNDUP(((D61*D79+P47+P52+P54)*J43+P45)/1000,0)</f>
        <v>15677</v>
      </c>
      <c r="K47" s="267" t="s">
        <v>117</v>
      </c>
      <c r="M47" s="264" t="s">
        <v>138</v>
      </c>
      <c r="N47" s="227" t="s">
        <v>139</v>
      </c>
      <c r="O47" s="227" t="s">
        <v>109</v>
      </c>
      <c r="P47" s="321">
        <f>VLOOKUP($C$40,$S$42:$AU$59,19,FALSE)</f>
        <v>14</v>
      </c>
      <c r="Q47" s="317" t="s">
        <v>140</v>
      </c>
      <c r="S47" s="259"/>
      <c r="T47" s="259"/>
      <c r="U47" s="259"/>
      <c r="V47" s="259"/>
      <c r="W47" s="259"/>
      <c r="X47" s="259"/>
      <c r="Y47" s="259"/>
      <c r="Z47" s="259"/>
    </row>
    <row r="48" spans="1:48" ht="55.5" hidden="1" customHeight="1">
      <c r="A48" s="211" t="s">
        <v>141</v>
      </c>
      <c r="B48" s="212" t="s">
        <v>128</v>
      </c>
      <c r="C48" s="212">
        <f>VLOOKUP($C$40,$S$42:$AU$59,22,FALSE)</f>
        <v>10000</v>
      </c>
      <c r="D48" s="215">
        <f>B9</f>
        <v>10000</v>
      </c>
      <c r="E48" s="214" t="s">
        <v>117</v>
      </c>
      <c r="F48" s="203"/>
      <c r="G48" s="264" t="s">
        <v>142</v>
      </c>
      <c r="H48" s="227" t="s">
        <v>143</v>
      </c>
      <c r="I48" s="268" t="s">
        <v>412</v>
      </c>
      <c r="J48" s="269">
        <f>ROUNDUP(D48-P49/P43+P48*J43/1000+P45/1000,0)+IF(D65=0,0,P53)+IF(D65=1,0,D49)</f>
        <v>10055</v>
      </c>
      <c r="K48" s="564" t="s">
        <v>117</v>
      </c>
      <c r="M48" s="264" t="s">
        <v>145</v>
      </c>
      <c r="N48" s="227" t="s">
        <v>146</v>
      </c>
      <c r="O48" s="227" t="s">
        <v>109</v>
      </c>
      <c r="P48" s="321">
        <f>VLOOKUP($C$40,$S$42:$AU$59,16,FALSE)</f>
        <v>3</v>
      </c>
      <c r="Q48" s="317" t="s">
        <v>140</v>
      </c>
      <c r="S48" s="259"/>
      <c r="T48" s="259"/>
      <c r="U48" s="259"/>
      <c r="V48" s="259"/>
      <c r="W48" s="259"/>
      <c r="X48" s="259"/>
      <c r="Y48" s="259"/>
      <c r="Z48" s="259"/>
    </row>
    <row r="49" spans="1:26" ht="30" hidden="1" customHeight="1">
      <c r="A49" s="216" t="s">
        <v>147</v>
      </c>
      <c r="B49" s="217" t="s">
        <v>148</v>
      </c>
      <c r="C49" s="212">
        <v>0</v>
      </c>
      <c r="D49" s="218">
        <f>B19</f>
        <v>0</v>
      </c>
      <c r="E49" s="219" t="s">
        <v>117</v>
      </c>
      <c r="F49" s="203"/>
      <c r="G49" s="264" t="s">
        <v>149</v>
      </c>
      <c r="H49" s="227" t="s">
        <v>150</v>
      </c>
      <c r="I49" s="268" t="s">
        <v>413</v>
      </c>
      <c r="J49" s="269">
        <f>ROUNDUP((1000000/D73)*D72,0)</f>
        <v>0</v>
      </c>
      <c r="K49" s="317" t="s">
        <v>117</v>
      </c>
      <c r="M49" s="264" t="s">
        <v>152</v>
      </c>
      <c r="N49" s="227" t="s">
        <v>153</v>
      </c>
      <c r="O49" s="227" t="s">
        <v>109</v>
      </c>
      <c r="P49" s="321">
        <f>VLOOKUP($C$40,$S$42:$AU$59,17,FALSE)</f>
        <v>636</v>
      </c>
      <c r="Q49" s="317" t="s">
        <v>154</v>
      </c>
      <c r="S49" s="259"/>
      <c r="T49" s="259"/>
      <c r="U49" s="259"/>
      <c r="V49" s="259"/>
      <c r="W49" s="259"/>
      <c r="X49" s="259"/>
      <c r="Y49" s="320"/>
      <c r="Z49" s="259"/>
    </row>
    <row r="50" spans="1:26" ht="60" hidden="1" customHeight="1">
      <c r="A50" s="220" t="s">
        <v>155</v>
      </c>
      <c r="B50" s="221" t="str">
        <f>"交叠曝光时间 
范围:0"&amp;"-"&amp;ROUNDUP(((D61*D79+P47+P52+P54)*J43/1000),0)</f>
        <v>交叠曝光时间 
范围:0-15626</v>
      </c>
      <c r="C50" s="212">
        <f>ROUNDUP((C61+P47+P52+P54)*J43/1000,0)</f>
        <v>15626</v>
      </c>
      <c r="D50" s="222">
        <v>0</v>
      </c>
      <c r="E50" s="219" t="s">
        <v>117</v>
      </c>
      <c r="F50" s="203"/>
      <c r="G50" s="216" t="s">
        <v>156</v>
      </c>
      <c r="H50" s="225" t="s">
        <v>157</v>
      </c>
      <c r="I50" s="225" t="s">
        <v>158</v>
      </c>
      <c r="J50" s="270">
        <f>P85</f>
        <v>15190</v>
      </c>
      <c r="K50" s="324" t="s">
        <v>117</v>
      </c>
      <c r="M50" s="264" t="s">
        <v>159</v>
      </c>
      <c r="N50" s="227" t="s">
        <v>160</v>
      </c>
      <c r="O50" s="227" t="s">
        <v>109</v>
      </c>
      <c r="P50" s="321">
        <f>VLOOKUP($C$40,$S$42:$AU$59,18,FALSE)</f>
        <v>6</v>
      </c>
      <c r="Q50" s="317" t="s">
        <v>140</v>
      </c>
      <c r="S50" s="259" t="s">
        <v>414</v>
      </c>
      <c r="T50" s="259">
        <f>C60*8/J43</f>
        <v>9.4652631578947375</v>
      </c>
      <c r="U50" s="259"/>
      <c r="V50" s="259"/>
      <c r="W50" s="259"/>
      <c r="X50" s="259"/>
      <c r="Y50" s="320"/>
      <c r="Z50" s="259"/>
    </row>
    <row r="51" spans="1:26" ht="87.75" hidden="1" customHeight="1">
      <c r="A51" s="223" t="s">
        <v>161</v>
      </c>
      <c r="B51" s="224" t="s">
        <v>162</v>
      </c>
      <c r="C51" s="225" t="s">
        <v>163</v>
      </c>
      <c r="D51" s="226">
        <v>0</v>
      </c>
      <c r="E51" s="219" t="s">
        <v>117</v>
      </c>
      <c r="F51" s="203"/>
      <c r="G51" s="1208" t="s">
        <v>164</v>
      </c>
      <c r="H51" s="1209"/>
      <c r="I51" s="1209"/>
      <c r="J51" s="1209"/>
      <c r="K51" s="1210"/>
      <c r="M51" s="264" t="s">
        <v>165</v>
      </c>
      <c r="N51" s="227" t="s">
        <v>166</v>
      </c>
      <c r="O51" s="227" t="s">
        <v>109</v>
      </c>
      <c r="P51" s="321">
        <f>VLOOKUP($C$40,$S$42:$AU$59,26,FALSE)</f>
        <v>1</v>
      </c>
      <c r="Q51" s="918" t="s">
        <v>122</v>
      </c>
      <c r="S51" s="259" t="s">
        <v>415</v>
      </c>
      <c r="T51" s="320">
        <f>U51-T52</f>
        <v>9.4747862473687547</v>
      </c>
      <c r="U51" s="259">
        <f>25.6*0.74</f>
        <v>18.943999999999999</v>
      </c>
      <c r="V51" s="259"/>
      <c r="W51" s="259"/>
      <c r="X51" s="259"/>
      <c r="Y51" s="320"/>
      <c r="Z51" s="259"/>
    </row>
    <row r="52" spans="1:26" ht="87.75" hidden="1" customHeight="1">
      <c r="A52" s="1211" t="s">
        <v>167</v>
      </c>
      <c r="B52" s="1212"/>
      <c r="C52" s="1212"/>
      <c r="D52" s="1212"/>
      <c r="E52" s="1213"/>
      <c r="F52" s="203"/>
      <c r="G52" s="250" t="s">
        <v>141</v>
      </c>
      <c r="H52" s="251" t="s">
        <v>168</v>
      </c>
      <c r="I52" s="251" t="s">
        <v>169</v>
      </c>
      <c r="J52" s="263">
        <f>IF((D53=1)*(D47="TriggerWidth"),MAX(D50,D51),ROUNDUP((1000*D48-1000*P49/P43)/1000,0))</f>
        <v>9993</v>
      </c>
      <c r="K52" s="267" t="s">
        <v>117</v>
      </c>
      <c r="M52" s="264" t="s">
        <v>170</v>
      </c>
      <c r="N52" s="227" t="s">
        <v>171</v>
      </c>
      <c r="O52" s="217" t="s">
        <v>109</v>
      </c>
      <c r="P52" s="321">
        <f>VLOOKUP($C$40,$S$42:$AU$59,20,FALSE)</f>
        <v>1</v>
      </c>
      <c r="Q52" s="317" t="s">
        <v>140</v>
      </c>
      <c r="S52" s="259" t="s">
        <v>416</v>
      </c>
      <c r="T52" s="259">
        <f>J58*8/1000/1000/1000</f>
        <v>9.4692137526312443</v>
      </c>
      <c r="U52" s="259"/>
      <c r="V52" s="259"/>
      <c r="W52" s="259"/>
      <c r="X52" s="259"/>
      <c r="Y52" s="320"/>
      <c r="Z52" s="259"/>
    </row>
    <row r="53" spans="1:26" ht="87.75" hidden="1" customHeight="1">
      <c r="A53" s="227" t="s">
        <v>172</v>
      </c>
      <c r="B53" s="227" t="s">
        <v>167</v>
      </c>
      <c r="C53" s="227">
        <v>0</v>
      </c>
      <c r="D53" s="228">
        <f>B20</f>
        <v>0</v>
      </c>
      <c r="E53" s="229"/>
      <c r="F53" s="203"/>
      <c r="G53" s="235" t="s">
        <v>173</v>
      </c>
      <c r="H53" s="220" t="s">
        <v>174</v>
      </c>
      <c r="I53" s="220" t="s">
        <v>175</v>
      </c>
      <c r="J53" s="265">
        <f>D49</f>
        <v>0</v>
      </c>
      <c r="K53" s="273" t="s">
        <v>117</v>
      </c>
      <c r="M53" s="264" t="s">
        <v>176</v>
      </c>
      <c r="N53" s="227" t="s">
        <v>177</v>
      </c>
      <c r="O53" s="227" t="s">
        <v>109</v>
      </c>
      <c r="P53" s="321">
        <f>VLOOKUP($C$40,$S$42:$AV$59,30,FALSE)</f>
        <v>0</v>
      </c>
      <c r="Q53" s="317" t="s">
        <v>117</v>
      </c>
      <c r="S53" s="259" t="s">
        <v>417</v>
      </c>
      <c r="T53" s="259">
        <f>T51-T50</f>
        <v>9.5230894740172545E-3</v>
      </c>
      <c r="U53" s="259" t="s">
        <v>418</v>
      </c>
      <c r="V53" s="259"/>
      <c r="W53" s="259"/>
      <c r="X53" s="259"/>
      <c r="Y53" s="320"/>
      <c r="Z53" s="259"/>
    </row>
    <row r="54" spans="1:26" ht="109.5" hidden="1" customHeight="1">
      <c r="A54" s="207" t="s">
        <v>178</v>
      </c>
      <c r="B54" s="208" t="s">
        <v>179</v>
      </c>
      <c r="C54" s="208">
        <v>0</v>
      </c>
      <c r="D54" s="230">
        <v>0</v>
      </c>
      <c r="E54" s="210"/>
      <c r="F54" s="203"/>
      <c r="G54" s="235" t="s">
        <v>180</v>
      </c>
      <c r="H54" s="220" t="s">
        <v>181</v>
      </c>
      <c r="I54" s="220" t="s">
        <v>182</v>
      </c>
      <c r="J54" s="265">
        <f>IF(P51=1,IF((D53=1)*(D47="TriggerWidth"),IF((D50&lt;=ROUNDUP(J43*6/1000,0))*(D50&gt;0),1,0),IF((MAX(J47,J48,J49,J50)-J52)&lt;J47,(IF((MAX(J47,J48,J49,J50)-J52)&gt;=(J47-ROUNDUP(6*J43/1000,0)),1,0)),0)),0)</f>
        <v>0</v>
      </c>
      <c r="K54" s="565" t="s">
        <v>122</v>
      </c>
      <c r="M54" s="276" t="s">
        <v>183</v>
      </c>
      <c r="N54" s="323" t="s">
        <v>184</v>
      </c>
      <c r="O54" s="323" t="s">
        <v>109</v>
      </c>
      <c r="P54" s="314">
        <f>VLOOKUP($C$40,$S$42:$AV$59,28,FALSE)</f>
        <v>1</v>
      </c>
      <c r="Q54" s="312" t="s">
        <v>140</v>
      </c>
      <c r="S54" s="259" t="s">
        <v>419</v>
      </c>
      <c r="T54" s="259">
        <f>T50-T52</f>
        <v>-3.9505947365068295E-3</v>
      </c>
      <c r="U54" s="259" t="s">
        <v>420</v>
      </c>
      <c r="V54" s="259"/>
      <c r="W54" s="259"/>
      <c r="X54" s="259"/>
      <c r="Y54" s="320"/>
      <c r="Z54" s="259"/>
    </row>
    <row r="55" spans="1:26" ht="111" hidden="1" customHeight="1">
      <c r="A55" s="1214" t="s">
        <v>185</v>
      </c>
      <c r="B55" s="1215"/>
      <c r="C55" s="1215"/>
      <c r="D55" s="1215"/>
      <c r="E55" s="1216"/>
      <c r="F55" s="203"/>
      <c r="G55" s="238" t="s">
        <v>186</v>
      </c>
      <c r="H55" s="225" t="s">
        <v>187</v>
      </c>
      <c r="I55" s="225" t="s">
        <v>188</v>
      </c>
      <c r="J55" s="277">
        <f>IF(J54=1,IF((D53=1)*(D47="TriggerWidth"),D50,J47-(MAX(J47,J48,J49,J50)-J52)),0)</f>
        <v>0</v>
      </c>
      <c r="K55" s="566" t="s">
        <v>117</v>
      </c>
      <c r="M55" s="1214" t="s">
        <v>189</v>
      </c>
      <c r="N55" s="1215"/>
      <c r="O55" s="1215"/>
      <c r="P55" s="1215"/>
      <c r="Q55" s="1216"/>
      <c r="S55" s="259"/>
      <c r="T55" s="259"/>
      <c r="U55" s="259"/>
      <c r="V55" s="259"/>
      <c r="W55" s="259"/>
      <c r="X55" s="259"/>
      <c r="Y55" s="320"/>
      <c r="Z55" s="259"/>
    </row>
    <row r="56" spans="1:26" ht="111" hidden="1" customHeight="1">
      <c r="A56" s="207" t="s">
        <v>190</v>
      </c>
      <c r="B56" s="208" t="s">
        <v>191</v>
      </c>
      <c r="C56" s="208">
        <v>0</v>
      </c>
      <c r="D56" s="209">
        <v>0</v>
      </c>
      <c r="E56" s="210" t="s">
        <v>117</v>
      </c>
      <c r="F56" s="203"/>
      <c r="G56" s="1214" t="s">
        <v>192</v>
      </c>
      <c r="H56" s="1215"/>
      <c r="I56" s="1215"/>
      <c r="J56" s="1215"/>
      <c r="K56" s="1216"/>
      <c r="M56" s="204" t="s">
        <v>91</v>
      </c>
      <c r="N56" s="205" t="s">
        <v>92</v>
      </c>
      <c r="O56" s="205" t="s">
        <v>93</v>
      </c>
      <c r="P56" s="205" t="s">
        <v>96</v>
      </c>
      <c r="Q56" s="308" t="s">
        <v>95</v>
      </c>
      <c r="S56" s="259"/>
      <c r="T56" s="259"/>
      <c r="U56" s="259"/>
      <c r="V56" s="259"/>
      <c r="W56" s="259"/>
      <c r="X56" s="259"/>
      <c r="Y56" s="336"/>
      <c r="Z56" s="336"/>
    </row>
    <row r="57" spans="1:26" ht="60.75" hidden="1" customHeight="1">
      <c r="A57" s="1214" t="s">
        <v>193</v>
      </c>
      <c r="B57" s="1215"/>
      <c r="C57" s="1215"/>
      <c r="D57" s="1215"/>
      <c r="E57" s="1216"/>
      <c r="F57" s="203"/>
      <c r="G57" s="250" t="s">
        <v>194</v>
      </c>
      <c r="H57" s="251" t="s">
        <v>195</v>
      </c>
      <c r="I57" s="251" t="s">
        <v>196</v>
      </c>
      <c r="J57" s="263">
        <f>J45*P74</f>
        <v>1174690055.4953117</v>
      </c>
      <c r="K57" s="279" t="s">
        <v>197</v>
      </c>
      <c r="M57" s="211" t="s">
        <v>198</v>
      </c>
      <c r="N57" s="212" t="s">
        <v>199</v>
      </c>
      <c r="O57" s="212" t="s">
        <v>200</v>
      </c>
      <c r="P57" s="311">
        <v>7</v>
      </c>
      <c r="Q57" s="312" t="s">
        <v>201</v>
      </c>
      <c r="S57" s="259"/>
      <c r="T57" s="259"/>
      <c r="U57" s="259"/>
      <c r="V57" s="259"/>
      <c r="W57" s="259"/>
      <c r="X57" s="259"/>
      <c r="Y57" s="336"/>
      <c r="Z57" s="336"/>
    </row>
    <row r="58" spans="1:26" ht="30" hidden="1" customHeight="1">
      <c r="A58" s="211" t="s">
        <v>202</v>
      </c>
      <c r="B58" s="212" t="s">
        <v>203</v>
      </c>
      <c r="C58" s="212">
        <v>0</v>
      </c>
      <c r="D58" s="215">
        <v>0</v>
      </c>
      <c r="E58" s="234" t="s">
        <v>119</v>
      </c>
      <c r="F58" s="203"/>
      <c r="G58" s="280" t="s">
        <v>204</v>
      </c>
      <c r="H58" s="281" t="s">
        <v>205</v>
      </c>
      <c r="I58" s="220" t="s">
        <v>206</v>
      </c>
      <c r="J58" s="265">
        <f>J45*P81</f>
        <v>1183651719.0789053</v>
      </c>
      <c r="K58" s="282" t="s">
        <v>197</v>
      </c>
      <c r="M58" s="264" t="s">
        <v>207</v>
      </c>
      <c r="N58" s="227" t="s">
        <v>208</v>
      </c>
      <c r="O58" s="227" t="s">
        <v>209</v>
      </c>
      <c r="P58" s="321">
        <v>1</v>
      </c>
      <c r="Q58" s="317" t="s">
        <v>201</v>
      </c>
      <c r="S58" s="259"/>
      <c r="T58" s="259"/>
      <c r="U58" s="259"/>
      <c r="V58" s="259"/>
      <c r="W58" s="259"/>
      <c r="X58" s="259"/>
      <c r="Y58" s="336"/>
      <c r="Z58" s="336"/>
    </row>
    <row r="59" spans="1:26" ht="30" hidden="1" customHeight="1">
      <c r="A59" s="235" t="s">
        <v>210</v>
      </c>
      <c r="B59" s="220" t="s">
        <v>211</v>
      </c>
      <c r="C59" s="220">
        <v>0</v>
      </c>
      <c r="D59" s="236">
        <v>0</v>
      </c>
      <c r="E59" s="237" t="s">
        <v>119</v>
      </c>
      <c r="F59" s="203"/>
      <c r="G59" s="283" t="s">
        <v>212</v>
      </c>
      <c r="H59" s="284" t="s">
        <v>213</v>
      </c>
      <c r="I59" s="225" t="s">
        <v>214</v>
      </c>
      <c r="J59" s="277">
        <f>1250*D67*(100-D70)</f>
        <v>1225000000</v>
      </c>
      <c r="K59" s="285" t="s">
        <v>197</v>
      </c>
      <c r="M59" s="264" t="s">
        <v>215</v>
      </c>
      <c r="N59" s="227" t="s">
        <v>216</v>
      </c>
      <c r="O59" s="227" t="s">
        <v>217</v>
      </c>
      <c r="P59" s="321">
        <v>14</v>
      </c>
      <c r="Q59" s="317" t="s">
        <v>201</v>
      </c>
    </row>
    <row r="60" spans="1:26" ht="30" hidden="1" customHeight="1">
      <c r="A60" s="235" t="s">
        <v>218</v>
      </c>
      <c r="B60" s="220" t="s">
        <v>19</v>
      </c>
      <c r="C60" s="220">
        <f>VLOOKUP($C$40,$S$42:$AU$59,23,FALSE)</f>
        <v>4496</v>
      </c>
      <c r="D60" s="236">
        <f>B4</f>
        <v>4496</v>
      </c>
      <c r="E60" s="237" t="s">
        <v>119</v>
      </c>
      <c r="F60" s="203"/>
      <c r="G60" s="1214" t="s">
        <v>219</v>
      </c>
      <c r="H60" s="1215"/>
      <c r="I60" s="1215"/>
      <c r="J60" s="1215"/>
      <c r="K60" s="1216"/>
      <c r="M60" s="264" t="s">
        <v>220</v>
      </c>
      <c r="N60" s="227" t="s">
        <v>221</v>
      </c>
      <c r="O60" s="227" t="s">
        <v>222</v>
      </c>
      <c r="P60" s="321">
        <v>20</v>
      </c>
      <c r="Q60" s="317" t="s">
        <v>201</v>
      </c>
      <c r="R60" s="259"/>
    </row>
    <row r="61" spans="1:26" ht="70.5" hidden="1" customHeight="1">
      <c r="A61" s="238" t="s">
        <v>223</v>
      </c>
      <c r="B61" s="225" t="s">
        <v>20</v>
      </c>
      <c r="C61" s="225">
        <f>VLOOKUP($C$40,$S$42:$AU$59,24,FALSE)</f>
        <v>4096</v>
      </c>
      <c r="D61" s="239">
        <f>B5</f>
        <v>4096</v>
      </c>
      <c r="E61" s="219" t="s">
        <v>119</v>
      </c>
      <c r="F61" s="203"/>
      <c r="G61" s="286" t="s">
        <v>224</v>
      </c>
      <c r="H61" s="287" t="s">
        <v>225</v>
      </c>
      <c r="I61" s="251" t="s">
        <v>226</v>
      </c>
      <c r="J61" s="263">
        <f>IF(D67=10000,0,IF(D67=5000,1,IF(D67=2500,2,IF(D67=1000,3,3))))</f>
        <v>0</v>
      </c>
      <c r="K61" s="279" t="s">
        <v>163</v>
      </c>
      <c r="M61" s="264" t="s">
        <v>227</v>
      </c>
      <c r="N61" s="227" t="s">
        <v>228</v>
      </c>
      <c r="O61" s="227" t="s">
        <v>229</v>
      </c>
      <c r="P61" s="321">
        <v>8</v>
      </c>
      <c r="Q61" s="317" t="s">
        <v>201</v>
      </c>
      <c r="R61" s="259"/>
    </row>
    <row r="62" spans="1:26" ht="45" hidden="1" customHeight="1">
      <c r="A62" s="1214" t="s">
        <v>230</v>
      </c>
      <c r="B62" s="1215"/>
      <c r="C62" s="1215"/>
      <c r="D62" s="1215"/>
      <c r="E62" s="1216"/>
      <c r="F62" s="203"/>
      <c r="G62" s="288" t="s">
        <v>231</v>
      </c>
      <c r="H62" s="289" t="s">
        <v>232</v>
      </c>
      <c r="I62" s="223" t="s">
        <v>233</v>
      </c>
      <c r="J62" s="290">
        <f>ROUNDUP(D69*VLOOKUP($C$40,$S$42:$AU$45,27,FALSE)/1000,0)</f>
        <v>0</v>
      </c>
      <c r="K62" s="291" t="s">
        <v>154</v>
      </c>
      <c r="M62" s="264" t="s">
        <v>234</v>
      </c>
      <c r="N62" s="227" t="s">
        <v>235</v>
      </c>
      <c r="O62" s="227" t="s">
        <v>229</v>
      </c>
      <c r="P62" s="321">
        <v>8</v>
      </c>
      <c r="Q62" s="317" t="s">
        <v>201</v>
      </c>
      <c r="R62" s="259"/>
    </row>
    <row r="63" spans="1:26" ht="45.75" hidden="1" customHeight="1">
      <c r="A63" s="240" t="s">
        <v>236</v>
      </c>
      <c r="B63" s="241" t="s">
        <v>237</v>
      </c>
      <c r="C63" s="242">
        <v>0</v>
      </c>
      <c r="D63" s="243">
        <v>0</v>
      </c>
      <c r="E63" s="244" t="s">
        <v>122</v>
      </c>
      <c r="F63" s="203"/>
      <c r="G63" s="1214" t="s">
        <v>238</v>
      </c>
      <c r="H63" s="1215"/>
      <c r="I63" s="1215"/>
      <c r="J63" s="1215"/>
      <c r="K63" s="1216"/>
      <c r="M63" s="264" t="s">
        <v>239</v>
      </c>
      <c r="N63" s="227" t="s">
        <v>240</v>
      </c>
      <c r="O63" s="227" t="s">
        <v>241</v>
      </c>
      <c r="P63" s="321">
        <v>4</v>
      </c>
      <c r="Q63" s="317" t="s">
        <v>201</v>
      </c>
    </row>
    <row r="64" spans="1:26" ht="48" hidden="1" customHeight="1">
      <c r="A64" s="1214" t="s">
        <v>242</v>
      </c>
      <c r="B64" s="1215"/>
      <c r="C64" s="1215"/>
      <c r="D64" s="1215"/>
      <c r="E64" s="1216"/>
      <c r="F64" s="203"/>
      <c r="G64" s="292" t="s">
        <v>243</v>
      </c>
      <c r="H64" s="293" t="s">
        <v>244</v>
      </c>
      <c r="I64" s="294" t="s">
        <v>245</v>
      </c>
      <c r="J64" s="295">
        <f>IF(ROUNDUP(P88*1000*8/D67,0)&gt;200000000,200000000,ROUNDUP(P88*1000*8/D67,0))</f>
        <v>4314442</v>
      </c>
      <c r="K64" s="296" t="s">
        <v>106</v>
      </c>
      <c r="M64" s="264" t="s">
        <v>246</v>
      </c>
      <c r="N64" s="227" t="s">
        <v>247</v>
      </c>
      <c r="O64" s="227" t="s">
        <v>248</v>
      </c>
      <c r="P64" s="321">
        <v>12</v>
      </c>
      <c r="Q64" s="317" t="s">
        <v>201</v>
      </c>
    </row>
    <row r="65" spans="1:24" ht="69.75" hidden="1" customHeight="1">
      <c r="A65" s="245" t="s">
        <v>249</v>
      </c>
      <c r="B65" s="246" t="s">
        <v>250</v>
      </c>
      <c r="C65" s="247">
        <v>0</v>
      </c>
      <c r="D65" s="248">
        <v>0</v>
      </c>
      <c r="E65" s="249" t="s">
        <v>122</v>
      </c>
      <c r="G65" s="1214" t="s">
        <v>251</v>
      </c>
      <c r="H65" s="1215"/>
      <c r="I65" s="1215"/>
      <c r="J65" s="1215"/>
      <c r="K65" s="1216"/>
      <c r="M65" s="264" t="s">
        <v>252</v>
      </c>
      <c r="N65" s="220" t="s">
        <v>253</v>
      </c>
      <c r="O65" s="227" t="s">
        <v>254</v>
      </c>
      <c r="P65" s="321">
        <f>P60+P61+P62</f>
        <v>36</v>
      </c>
      <c r="Q65" s="317" t="s">
        <v>201</v>
      </c>
      <c r="S65" s="1214" t="s">
        <v>255</v>
      </c>
      <c r="T65" s="1215"/>
      <c r="U65" s="1215"/>
      <c r="V65" s="1215"/>
      <c r="W65" s="1215"/>
      <c r="X65" s="1217"/>
    </row>
    <row r="66" spans="1:24" ht="62.25" hidden="1" customHeight="1">
      <c r="A66" s="1214" t="s">
        <v>256</v>
      </c>
      <c r="B66" s="1215"/>
      <c r="C66" s="1215"/>
      <c r="D66" s="1215"/>
      <c r="E66" s="1216"/>
      <c r="G66" s="292" t="s">
        <v>257</v>
      </c>
      <c r="H66" s="293" t="s">
        <v>251</v>
      </c>
      <c r="I66" s="294" t="s">
        <v>258</v>
      </c>
      <c r="J66" s="295">
        <f>IF((100-ROUNDDOWN(10*P83/(125000*D67),0)-1)&lt;0,0,(100-ROUNDDOWN(10*P83/(125000*D67),0)-1))</f>
        <v>99</v>
      </c>
      <c r="K66" s="296" t="s">
        <v>259</v>
      </c>
      <c r="M66" s="264" t="s">
        <v>260</v>
      </c>
      <c r="N66" s="220" t="s">
        <v>261</v>
      </c>
      <c r="O66" s="227" t="s">
        <v>262</v>
      </c>
      <c r="P66" s="321">
        <f>P57+P58+P59+P63</f>
        <v>26</v>
      </c>
      <c r="Q66" s="317" t="s">
        <v>201</v>
      </c>
      <c r="S66" s="204" t="s">
        <v>263</v>
      </c>
      <c r="T66" s="205" t="s">
        <v>264</v>
      </c>
      <c r="U66" s="205" t="s">
        <v>92</v>
      </c>
      <c r="V66" s="205" t="s">
        <v>93</v>
      </c>
      <c r="W66" s="337" t="s">
        <v>265</v>
      </c>
      <c r="X66" s="206" t="s">
        <v>266</v>
      </c>
    </row>
    <row r="67" spans="1:24" ht="50.25" hidden="1" customHeight="1">
      <c r="A67" s="250" t="s">
        <v>267</v>
      </c>
      <c r="B67" s="251" t="s">
        <v>268</v>
      </c>
      <c r="C67" s="252" t="s">
        <v>122</v>
      </c>
      <c r="D67" s="253">
        <f>B11</f>
        <v>10000</v>
      </c>
      <c r="E67" s="214" t="s">
        <v>269</v>
      </c>
      <c r="G67" s="1214" t="s">
        <v>270</v>
      </c>
      <c r="H67" s="1215"/>
      <c r="I67" s="1215"/>
      <c r="J67" s="1215"/>
      <c r="K67" s="1216"/>
      <c r="M67" s="216" t="s">
        <v>271</v>
      </c>
      <c r="N67" s="217" t="s">
        <v>272</v>
      </c>
      <c r="O67" s="217" t="s">
        <v>273</v>
      </c>
      <c r="P67" s="270">
        <f>64-P59-P63-P65</f>
        <v>10</v>
      </c>
      <c r="Q67" s="324" t="s">
        <v>201</v>
      </c>
      <c r="S67" s="325" t="s">
        <v>274</v>
      </c>
      <c r="T67" s="251" t="str">
        <f>IF(OR(C41="A7",C41="KU3P"),"0x01001004","0x77601654")</f>
        <v>0x01001004</v>
      </c>
      <c r="U67" s="326" t="s">
        <v>275</v>
      </c>
      <c r="V67" s="212" t="s">
        <v>147</v>
      </c>
      <c r="W67" s="338" t="str">
        <f>DEC2HEX(J53)</f>
        <v>0</v>
      </c>
      <c r="X67" s="339"/>
    </row>
    <row r="68" spans="1:24" ht="156" hidden="1" customHeight="1">
      <c r="A68" s="235" t="s">
        <v>276</v>
      </c>
      <c r="B68" s="220" t="s">
        <v>34</v>
      </c>
      <c r="C68" s="254">
        <v>1500</v>
      </c>
      <c r="D68" s="236">
        <f>B18</f>
        <v>8164</v>
      </c>
      <c r="E68" s="237" t="s">
        <v>201</v>
      </c>
      <c r="G68" s="286" t="s">
        <v>277</v>
      </c>
      <c r="H68" s="287" t="s">
        <v>278</v>
      </c>
      <c r="I68" s="251" t="s">
        <v>279</v>
      </c>
      <c r="J68" s="297" t="str">
        <f>IF((D53=1)*(D47="TriggerWidth"),ROUNDUP(J47+MAX(D50,D51)-(D50-P48*J43/1000)*(D50&gt;ROUNDUP(6*J43/1000,0)),0),"null")</f>
        <v>null</v>
      </c>
      <c r="K68" s="298" t="s">
        <v>117</v>
      </c>
      <c r="M68" s="1214" t="s">
        <v>280</v>
      </c>
      <c r="N68" s="1215"/>
      <c r="O68" s="1215"/>
      <c r="P68" s="1215"/>
      <c r="Q68" s="1216"/>
      <c r="S68" s="327" t="s">
        <v>281</v>
      </c>
      <c r="T68" s="220" t="str">
        <f>IF(OR(C41="A7",C41="KU3P"),"0x01001008","0x77601658")</f>
        <v>0x01001008</v>
      </c>
      <c r="U68" s="328" t="s">
        <v>282</v>
      </c>
      <c r="V68" s="227" t="s">
        <v>141</v>
      </c>
      <c r="W68" s="340" t="str">
        <f>DEC2HEX(J52)</f>
        <v>2709</v>
      </c>
      <c r="X68" s="341"/>
    </row>
    <row r="69" spans="1:24" ht="84.75" hidden="1" customHeight="1">
      <c r="A69" s="235" t="str">
        <f>"流通道包间隔 
范围:0"&amp;"-"&amp;J64</f>
        <v>流通道包间隔 
范围:0-4314442</v>
      </c>
      <c r="B69" s="220" t="s">
        <v>32</v>
      </c>
      <c r="C69" s="254">
        <v>0</v>
      </c>
      <c r="D69" s="236">
        <f>B16</f>
        <v>0</v>
      </c>
      <c r="E69" s="237" t="s">
        <v>106</v>
      </c>
      <c r="G69" s="288" t="s">
        <v>283</v>
      </c>
      <c r="H69" s="289" t="s">
        <v>284</v>
      </c>
      <c r="I69" s="223" t="s">
        <v>285</v>
      </c>
      <c r="J69" s="299" t="str">
        <f>IF((D53=1)*(D47="TriggerWidth"),MAX(D50,D51)+P49/P43,"null")</f>
        <v>null</v>
      </c>
      <c r="K69" s="291" t="s">
        <v>117</v>
      </c>
      <c r="M69" s="204" t="s">
        <v>91</v>
      </c>
      <c r="N69" s="205" t="s">
        <v>92</v>
      </c>
      <c r="O69" s="205" t="s">
        <v>93</v>
      </c>
      <c r="P69" s="205" t="s">
        <v>96</v>
      </c>
      <c r="Q69" s="308" t="s">
        <v>95</v>
      </c>
      <c r="S69" s="327" t="s">
        <v>286</v>
      </c>
      <c r="T69" s="220" t="str">
        <f>IF(OR(C41="A7",C41="KU3P"),"0x01001010","0x7760165c")</f>
        <v>0x01001010</v>
      </c>
      <c r="U69" s="328" t="s">
        <v>287</v>
      </c>
      <c r="V69" s="227" t="s">
        <v>114</v>
      </c>
      <c r="W69" s="340" t="str">
        <f>DEC2HEX(MAX(J47,J48,J49,J50))</f>
        <v>3D3D</v>
      </c>
      <c r="X69" s="341"/>
    </row>
    <row r="70" spans="1:24" ht="57" hidden="1" customHeight="1">
      <c r="A70" s="238" t="str">
        <f>"预留带宽 
范围:0-"&amp;J66</f>
        <v>预留带宽 
范围:0-99</v>
      </c>
      <c r="B70" s="225" t="s">
        <v>30</v>
      </c>
      <c r="C70" s="257">
        <v>2</v>
      </c>
      <c r="D70" s="239">
        <f>B14</f>
        <v>2</v>
      </c>
      <c r="E70" s="219" t="s">
        <v>259</v>
      </c>
      <c r="M70" s="211" t="s">
        <v>288</v>
      </c>
      <c r="N70" s="251" t="s">
        <v>289</v>
      </c>
      <c r="O70" s="212" t="s">
        <v>290</v>
      </c>
      <c r="P70" s="311">
        <f>36</f>
        <v>36</v>
      </c>
      <c r="Q70" s="312" t="s">
        <v>201</v>
      </c>
      <c r="S70" s="327" t="s">
        <v>291</v>
      </c>
      <c r="T70" s="220" t="str">
        <f>IF(OR(C41="A7",C41="KU3P"),"0x01001014","0x77601850")</f>
        <v>0x01001014</v>
      </c>
      <c r="U70" s="328" t="s">
        <v>292</v>
      </c>
      <c r="V70" s="227" t="s">
        <v>114</v>
      </c>
      <c r="W70" s="340" t="str">
        <f>IF(D47="TriggerWidth",DEC2HEX(MAX(J47,J49)),IF(D54=0,DEC2HEX(MAX(J47,J48,IF(D65=1,0,J49))),DEC2HEX(MAX(J47,J48,IF(D65=1,0,J49),J50))))</f>
        <v>3D3D</v>
      </c>
      <c r="X70" s="341"/>
    </row>
    <row r="71" spans="1:24" ht="75.75" hidden="1" customHeight="1">
      <c r="A71" s="1214" t="s">
        <v>293</v>
      </c>
      <c r="B71" s="1215"/>
      <c r="C71" s="1215"/>
      <c r="D71" s="1215"/>
      <c r="E71" s="1216"/>
      <c r="M71" s="264" t="s">
        <v>294</v>
      </c>
      <c r="N71" s="220" t="s">
        <v>295</v>
      </c>
      <c r="O71" s="227" t="s">
        <v>296</v>
      </c>
      <c r="P71" s="321">
        <v>10</v>
      </c>
      <c r="Q71" s="317" t="s">
        <v>201</v>
      </c>
      <c r="S71" s="327" t="s">
        <v>297</v>
      </c>
      <c r="T71" s="220" t="str">
        <f>IF(OR(C41="A7",C41="KU3P"),"0x01001018","待定")</f>
        <v>0x01001018</v>
      </c>
      <c r="U71" s="328" t="s">
        <v>298</v>
      </c>
      <c r="V71" s="220" t="s">
        <v>114</v>
      </c>
      <c r="W71" s="340" t="str">
        <f>DEC2HEX(MAX(J47,J48))</f>
        <v>3D3D</v>
      </c>
      <c r="X71" s="341"/>
    </row>
    <row r="72" spans="1:24" ht="50.1" hidden="1" customHeight="1">
      <c r="A72" s="211" t="s">
        <v>299</v>
      </c>
      <c r="B72" s="212" t="s">
        <v>300</v>
      </c>
      <c r="C72" s="212">
        <v>0</v>
      </c>
      <c r="D72" s="215">
        <f>B12</f>
        <v>0</v>
      </c>
      <c r="E72" s="234" t="s">
        <v>122</v>
      </c>
      <c r="M72" s="305" t="s">
        <v>301</v>
      </c>
      <c r="N72" s="329" t="s">
        <v>302</v>
      </c>
      <c r="O72" s="329" t="s">
        <v>303</v>
      </c>
      <c r="P72" s="265">
        <v>60</v>
      </c>
      <c r="Q72" s="282" t="s">
        <v>201</v>
      </c>
      <c r="S72" s="327" t="s">
        <v>304</v>
      </c>
      <c r="T72" s="220" t="str">
        <f>IF(OR(C41="A7",C41="KU3P"),"0x0100100C","0x7760185C")</f>
        <v>0x0100100C</v>
      </c>
      <c r="U72" s="328" t="s">
        <v>305</v>
      </c>
      <c r="V72" s="227" t="s">
        <v>135</v>
      </c>
      <c r="W72" s="340" t="str">
        <f>DEC2HEX(J47)</f>
        <v>3D3D</v>
      </c>
      <c r="X72" s="341"/>
    </row>
    <row r="73" spans="1:24" ht="75" hidden="1" customHeight="1">
      <c r="A73" s="216" t="s">
        <v>293</v>
      </c>
      <c r="B73" s="217" t="s">
        <v>306</v>
      </c>
      <c r="C73" s="217">
        <f>VLOOKUP($C$40,$S$42:$AU$59,25,FALSE)</f>
        <v>61</v>
      </c>
      <c r="D73" s="218">
        <f>B13</f>
        <v>63</v>
      </c>
      <c r="E73" s="258" t="s">
        <v>125</v>
      </c>
      <c r="M73" s="235" t="s">
        <v>307</v>
      </c>
      <c r="N73" s="220" t="s">
        <v>308</v>
      </c>
      <c r="O73" s="220" t="s">
        <v>309</v>
      </c>
      <c r="P73" s="265">
        <f>D60*D61*IF(D45=8,1,2)</f>
        <v>18415616</v>
      </c>
      <c r="Q73" s="317" t="s">
        <v>201</v>
      </c>
      <c r="S73" s="330" t="s">
        <v>310</v>
      </c>
      <c r="T73" s="220" t="str">
        <f>IF(OR(C41="A7",C41="KU3P"),"0x0100101C","0x77601860")</f>
        <v>0x0100101C</v>
      </c>
      <c r="U73" s="328" t="s">
        <v>311</v>
      </c>
      <c r="V73" s="227" t="s">
        <v>312</v>
      </c>
      <c r="W73" s="342" t="str">
        <f>DEC2HEX(IF(P51=1,ROUNDUP(6*J43/1000,0),0))</f>
        <v>17</v>
      </c>
      <c r="X73" s="341"/>
    </row>
    <row r="74" spans="1:24" ht="43.5" hidden="1" customHeight="1">
      <c r="A74" s="1214" t="s">
        <v>313</v>
      </c>
      <c r="B74" s="1215"/>
      <c r="C74" s="1215"/>
      <c r="D74" s="1215"/>
      <c r="E74" s="1216"/>
      <c r="G74" s="1218"/>
      <c r="H74" s="1218"/>
      <c r="I74" s="1218"/>
      <c r="J74" s="1218"/>
      <c r="K74" s="1218"/>
      <c r="M74" s="264" t="s">
        <v>314</v>
      </c>
      <c r="N74" s="220" t="s">
        <v>315</v>
      </c>
      <c r="O74" s="220" t="s">
        <v>316</v>
      </c>
      <c r="P74" s="321">
        <f>P73+P72*D63</f>
        <v>18415616</v>
      </c>
      <c r="Q74" s="317" t="s">
        <v>201</v>
      </c>
      <c r="S74" s="330" t="s">
        <v>317</v>
      </c>
      <c r="T74" s="220" t="str">
        <f>IF(OR(C41="A7",C41="KU3P"),"0x01100000","0x77601500")</f>
        <v>0x01100000</v>
      </c>
      <c r="U74" s="328" t="s">
        <v>318</v>
      </c>
      <c r="V74" s="220" t="s">
        <v>122</v>
      </c>
      <c r="W74" s="340" t="s">
        <v>319</v>
      </c>
      <c r="X74" s="341"/>
    </row>
    <row r="75" spans="1:24" ht="60" hidden="1" customHeight="1">
      <c r="A75" s="211" t="s">
        <v>320</v>
      </c>
      <c r="B75" s="212" t="s">
        <v>321</v>
      </c>
      <c r="C75" s="212">
        <v>1</v>
      </c>
      <c r="D75" s="215">
        <f>B7</f>
        <v>1</v>
      </c>
      <c r="E75" s="234" t="s">
        <v>122</v>
      </c>
      <c r="G75" s="569"/>
      <c r="H75" s="570"/>
      <c r="I75" s="336"/>
      <c r="J75" s="336"/>
      <c r="K75" s="336"/>
      <c r="M75" s="264" t="s">
        <v>322</v>
      </c>
      <c r="N75" s="220" t="s">
        <v>323</v>
      </c>
      <c r="O75" s="227" t="s">
        <v>324</v>
      </c>
      <c r="P75" s="331">
        <f>INT(P74/(D68-P65))</f>
        <v>2265</v>
      </c>
      <c r="Q75" s="317" t="s">
        <v>421</v>
      </c>
      <c r="S75" s="332" t="s">
        <v>325</v>
      </c>
      <c r="T75" s="220" t="str">
        <f>IF(OR(C41="A7",C41="KU3P"),"0x01100010","0x7760147C")</f>
        <v>0x01100010</v>
      </c>
      <c r="U75" s="571" t="s">
        <v>326</v>
      </c>
      <c r="V75" s="217" t="s">
        <v>327</v>
      </c>
      <c r="W75" s="345" t="str">
        <f>DEC2HEX(ROUNDUP(J43*P43/1000,0)-D60/VLOOKUP($C$40,$S$42:$AU$59,5,FALSE)/VLOOKUP($C$40,$S$42:$AU$59,6,FALSE))</f>
        <v>17</v>
      </c>
      <c r="X75" s="341"/>
    </row>
    <row r="76" spans="1:24" ht="126.75" hidden="1" customHeight="1">
      <c r="A76" s="216" t="s">
        <v>328</v>
      </c>
      <c r="B76" s="217" t="s">
        <v>329</v>
      </c>
      <c r="C76" s="217">
        <v>1</v>
      </c>
      <c r="D76" s="218">
        <f>B8</f>
        <v>1</v>
      </c>
      <c r="E76" s="258" t="s">
        <v>122</v>
      </c>
      <c r="M76" s="264" t="s">
        <v>330</v>
      </c>
      <c r="N76" s="220" t="s">
        <v>331</v>
      </c>
      <c r="O76" s="227" t="s">
        <v>332</v>
      </c>
      <c r="P76" s="331">
        <f>P74-(D68-P65)*P75</f>
        <v>5696</v>
      </c>
      <c r="Q76" s="317" t="s">
        <v>201</v>
      </c>
      <c r="S76" s="330" t="s">
        <v>333</v>
      </c>
      <c r="T76" s="220" t="s">
        <v>334</v>
      </c>
      <c r="U76" s="220" t="s">
        <v>335</v>
      </c>
      <c r="V76" s="220" t="s">
        <v>336</v>
      </c>
      <c r="W76" s="342" t="str">
        <f>"0x"&amp;DEC2HEX(D68-P65)</f>
        <v>0x1FC0</v>
      </c>
      <c r="X76" s="343" t="s">
        <v>337</v>
      </c>
    </row>
    <row r="77" spans="1:24" ht="30" hidden="1" customHeight="1">
      <c r="A77" s="1214" t="s">
        <v>338</v>
      </c>
      <c r="B77" s="1215"/>
      <c r="C77" s="1215"/>
      <c r="D77" s="1215"/>
      <c r="E77" s="1216"/>
      <c r="M77" s="264" t="s">
        <v>339</v>
      </c>
      <c r="N77" s="220" t="s">
        <v>340</v>
      </c>
      <c r="O77" s="227" t="s">
        <v>341</v>
      </c>
      <c r="P77" s="321">
        <f>IF(MOD(P73,(D68-P65))=0,0,1)</f>
        <v>1</v>
      </c>
      <c r="Q77" s="317" t="s">
        <v>421</v>
      </c>
      <c r="S77" s="330" t="s">
        <v>342</v>
      </c>
      <c r="T77" s="220" t="s">
        <v>343</v>
      </c>
      <c r="U77" s="220" t="s">
        <v>344</v>
      </c>
      <c r="V77" s="220" t="s">
        <v>345</v>
      </c>
      <c r="W77" s="342" t="str">
        <f>"0x"&amp;DEC2HEX(J62)</f>
        <v>0x0</v>
      </c>
      <c r="X77" s="1226" t="s">
        <v>346</v>
      </c>
    </row>
    <row r="78" spans="1:24" ht="99.75" hidden="1" customHeight="1">
      <c r="A78" s="211" t="s">
        <v>347</v>
      </c>
      <c r="B78" s="212" t="s">
        <v>348</v>
      </c>
      <c r="C78" s="212">
        <v>1</v>
      </c>
      <c r="D78" s="215">
        <f>B6</f>
        <v>1</v>
      </c>
      <c r="E78" s="234" t="s">
        <v>122</v>
      </c>
      <c r="M78" s="264" t="s">
        <v>349</v>
      </c>
      <c r="N78" s="220" t="s">
        <v>350</v>
      </c>
      <c r="O78" s="227" t="s">
        <v>351</v>
      </c>
      <c r="P78" s="331">
        <f>IF(P76&lt;P67,P67,P76)</f>
        <v>5696</v>
      </c>
      <c r="Q78" s="317" t="s">
        <v>201</v>
      </c>
      <c r="S78" s="332" t="s">
        <v>352</v>
      </c>
      <c r="T78" s="225" t="s">
        <v>353</v>
      </c>
      <c r="U78" s="225" t="s">
        <v>354</v>
      </c>
      <c r="V78" s="225" t="s">
        <v>355</v>
      </c>
      <c r="W78" s="345" t="str">
        <f>"0x"&amp;DEC2HEX(J61)</f>
        <v>0x0</v>
      </c>
      <c r="X78" s="1227"/>
    </row>
    <row r="79" spans="1:24" ht="30" hidden="1" customHeight="1">
      <c r="A79" s="216" t="s">
        <v>356</v>
      </c>
      <c r="B79" s="217" t="s">
        <v>357</v>
      </c>
      <c r="C79" s="217">
        <v>1</v>
      </c>
      <c r="D79" s="218">
        <v>1</v>
      </c>
      <c r="E79" s="258" t="s">
        <v>122</v>
      </c>
      <c r="M79" s="264" t="s">
        <v>358</v>
      </c>
      <c r="N79" s="220" t="s">
        <v>359</v>
      </c>
      <c r="O79" s="227" t="s">
        <v>360</v>
      </c>
      <c r="P79" s="331">
        <f>P66+P65+P70</f>
        <v>98</v>
      </c>
      <c r="Q79" s="317" t="s">
        <v>201</v>
      </c>
      <c r="S79" s="330" t="s">
        <v>361</v>
      </c>
      <c r="T79" s="220" t="s">
        <v>362</v>
      </c>
      <c r="U79" s="220" t="s">
        <v>363</v>
      </c>
      <c r="V79" s="220" t="s">
        <v>364</v>
      </c>
      <c r="W79" s="220" t="str">
        <f>"0x"&amp;DEC2HEX(D50)</f>
        <v>0x0</v>
      </c>
      <c r="X79" s="572"/>
    </row>
    <row r="80" spans="1:24" ht="30" hidden="1" customHeight="1">
      <c r="A80" s="1219" t="s">
        <v>365</v>
      </c>
      <c r="B80" s="1220"/>
      <c r="C80" s="1220"/>
      <c r="D80" s="1220"/>
      <c r="E80" s="1221"/>
      <c r="M80" s="264" t="s">
        <v>366</v>
      </c>
      <c r="N80" s="220" t="s">
        <v>367</v>
      </c>
      <c r="O80" s="227" t="s">
        <v>368</v>
      </c>
      <c r="P80" s="331">
        <f>P66+P65+P71</f>
        <v>72</v>
      </c>
      <c r="Q80" s="317" t="s">
        <v>201</v>
      </c>
      <c r="S80" s="386" t="s">
        <v>369</v>
      </c>
      <c r="T80" s="223" t="s">
        <v>370</v>
      </c>
      <c r="U80" s="223" t="s">
        <v>371</v>
      </c>
      <c r="V80" s="223" t="s">
        <v>372</v>
      </c>
      <c r="W80" s="223" t="str">
        <f>"0x"&amp;IF((D53=1)*(D47="TriggerWidth"),1,0)</f>
        <v>0x0</v>
      </c>
      <c r="X80" s="573"/>
    </row>
    <row r="81" spans="1:17" ht="52.5" hidden="1" customHeight="1">
      <c r="A81" s="374" t="s">
        <v>58</v>
      </c>
      <c r="B81" s="1222" t="s">
        <v>373</v>
      </c>
      <c r="C81" s="1222"/>
      <c r="D81" s="1223">
        <f>J45</f>
        <v>63.787714486189962</v>
      </c>
      <c r="E81" s="1224"/>
      <c r="M81" s="264" t="s">
        <v>374</v>
      </c>
      <c r="N81" s="220" t="s">
        <v>375</v>
      </c>
      <c r="O81" s="227" t="s">
        <v>376</v>
      </c>
      <c r="P81" s="331">
        <f>P75*(D68+P66)+P77*(P78+P66+P65)</f>
        <v>18556108</v>
      </c>
      <c r="Q81" s="317" t="s">
        <v>201</v>
      </c>
    </row>
    <row r="82" spans="1:17" ht="66.75" hidden="1" customHeight="1">
      <c r="M82" s="235" t="s">
        <v>377</v>
      </c>
      <c r="N82" s="220" t="s">
        <v>378</v>
      </c>
      <c r="O82" s="220" t="s">
        <v>379</v>
      </c>
      <c r="P82" s="390">
        <f>(2+P77+P75)*P87</f>
        <v>45360</v>
      </c>
      <c r="Q82" s="282" t="s">
        <v>201</v>
      </c>
    </row>
    <row r="83" spans="1:17" ht="45" hidden="1" customHeight="1">
      <c r="M83" s="235" t="s">
        <v>380</v>
      </c>
      <c r="N83" s="220" t="s">
        <v>381</v>
      </c>
      <c r="O83" s="220" t="s">
        <v>382</v>
      </c>
      <c r="P83" s="265">
        <f>P79+P80+P81+P82</f>
        <v>18601638</v>
      </c>
      <c r="Q83" s="282" t="s">
        <v>201</v>
      </c>
    </row>
    <row r="84" spans="1:17" ht="45" hidden="1" customHeight="1">
      <c r="I84" s="203"/>
      <c r="M84" s="235" t="s">
        <v>383</v>
      </c>
      <c r="N84" s="220" t="s">
        <v>384</v>
      </c>
      <c r="O84" s="220" t="s">
        <v>385</v>
      </c>
      <c r="P84" s="265">
        <f>INT(1000000*D67*(100-D70)/80)</f>
        <v>12250000000</v>
      </c>
      <c r="Q84" s="282" t="s">
        <v>386</v>
      </c>
    </row>
    <row r="85" spans="1:17" ht="45" hidden="1" customHeight="1">
      <c r="M85" s="238" t="s">
        <v>387</v>
      </c>
      <c r="N85" s="225" t="s">
        <v>388</v>
      </c>
      <c r="O85" s="225" t="s">
        <v>389</v>
      </c>
      <c r="P85" s="277">
        <f>ROUNDUP(P83*1000000/P84,0)*10</f>
        <v>15190</v>
      </c>
      <c r="Q85" s="219" t="s">
        <v>117</v>
      </c>
    </row>
    <row r="86" spans="1:17" ht="60" hidden="1" customHeight="1">
      <c r="M86" s="1214" t="s">
        <v>390</v>
      </c>
      <c r="N86" s="1215"/>
      <c r="O86" s="1215"/>
      <c r="P86" s="1215"/>
      <c r="Q86" s="1216"/>
    </row>
    <row r="87" spans="1:17" ht="78" hidden="1" customHeight="1">
      <c r="M87" s="280" t="s">
        <v>391</v>
      </c>
      <c r="N87" s="391" t="s">
        <v>392</v>
      </c>
      <c r="O87" s="220" t="s">
        <v>393</v>
      </c>
      <c r="P87" s="265">
        <f>MAX(ROUNDUP(D69*D67/1000/8,0),P64+8)</f>
        <v>20</v>
      </c>
      <c r="Q87" s="282" t="s">
        <v>394</v>
      </c>
    </row>
    <row r="88" spans="1:17" ht="71.25" hidden="1" customHeight="1">
      <c r="M88" s="288" t="s">
        <v>395</v>
      </c>
      <c r="N88" s="289" t="s">
        <v>396</v>
      </c>
      <c r="O88" s="223" t="s">
        <v>397</v>
      </c>
      <c r="P88" s="290">
        <f>ROUNDDOWN((P84-(P81+P80+P79))/(P75+P77+2),0)</f>
        <v>5393052</v>
      </c>
      <c r="Q88" s="291" t="s">
        <v>394</v>
      </c>
    </row>
    <row r="89" spans="1:17" ht="30" hidden="1" customHeight="1"/>
    <row r="90" spans="1:17" ht="45" customHeight="1"/>
    <row r="92" spans="1:17" ht="45" customHeight="1"/>
    <row r="93" spans="1:17" ht="60" customHeight="1"/>
    <row r="115" spans="1:9" ht="30" customHeight="1">
      <c r="G115" s="384"/>
      <c r="H115" s="1225"/>
      <c r="I115" s="1225"/>
    </row>
    <row r="116" spans="1:9" ht="30" customHeight="1">
      <c r="G116" s="384"/>
      <c r="H116" s="384"/>
      <c r="I116" s="384"/>
    </row>
    <row r="117" spans="1:9" ht="30" customHeight="1">
      <c r="G117" s="384"/>
      <c r="H117" s="384"/>
      <c r="I117" s="384"/>
    </row>
    <row r="118" spans="1:9" ht="30" customHeight="1">
      <c r="G118" s="384"/>
      <c r="H118" s="384"/>
      <c r="I118" s="384"/>
    </row>
    <row r="119" spans="1:9" ht="30" customHeight="1">
      <c r="G119" s="384"/>
      <c r="H119" s="384"/>
      <c r="I119" s="384"/>
    </row>
    <row r="120" spans="1:9" ht="30" customHeight="1">
      <c r="G120" s="384"/>
      <c r="H120" s="1225"/>
      <c r="I120" s="1225"/>
    </row>
    <row r="121" spans="1:9" ht="30" customHeight="1">
      <c r="F121" s="385"/>
      <c r="G121" s="384"/>
      <c r="H121" s="384"/>
      <c r="I121" s="384"/>
    </row>
    <row r="122" spans="1:9" ht="30" customHeight="1">
      <c r="A122" s="384"/>
      <c r="B122" s="384"/>
      <c r="C122" s="384"/>
      <c r="D122" s="384"/>
      <c r="F122" s="384"/>
      <c r="G122" s="384"/>
      <c r="H122" s="384"/>
      <c r="I122" s="384"/>
    </row>
    <row r="123" spans="1:9" ht="30" customHeight="1">
      <c r="A123" s="384"/>
      <c r="B123" s="384"/>
      <c r="C123" s="384"/>
      <c r="D123" s="384"/>
      <c r="F123" s="384"/>
      <c r="G123" s="384"/>
      <c r="H123" s="384"/>
      <c r="I123" s="384"/>
    </row>
    <row r="124" spans="1:9" ht="30" customHeight="1">
      <c r="A124" s="384"/>
      <c r="B124" s="384"/>
      <c r="C124" s="384"/>
      <c r="D124" s="384"/>
      <c r="F124" s="384"/>
      <c r="G124" s="384"/>
      <c r="H124" s="384"/>
      <c r="I124" s="384"/>
    </row>
    <row r="125" spans="1:9" ht="30" customHeight="1">
      <c r="A125" s="384"/>
      <c r="B125" s="384"/>
      <c r="C125" s="384"/>
      <c r="D125" s="384"/>
      <c r="E125" s="385"/>
      <c r="F125" s="384"/>
      <c r="G125" s="384"/>
      <c r="H125" s="1225"/>
      <c r="I125" s="1225"/>
    </row>
    <row r="126" spans="1:9" ht="30" customHeight="1">
      <c r="A126" s="384"/>
      <c r="B126" s="384"/>
      <c r="C126" s="384"/>
      <c r="D126" s="384"/>
      <c r="E126" s="384"/>
      <c r="F126" s="384"/>
      <c r="G126" s="384"/>
      <c r="H126" s="384"/>
      <c r="I126" s="384"/>
    </row>
    <row r="127" spans="1:9" ht="30" customHeight="1">
      <c r="A127" s="384"/>
      <c r="B127" s="384"/>
      <c r="C127" s="384"/>
      <c r="D127" s="384"/>
      <c r="E127" s="384"/>
      <c r="F127" s="384"/>
      <c r="G127" s="384"/>
      <c r="H127" s="384"/>
      <c r="I127" s="384"/>
    </row>
    <row r="128" spans="1:9" ht="30" customHeight="1">
      <c r="A128" s="384"/>
      <c r="B128" s="384"/>
      <c r="C128" s="384"/>
      <c r="D128" s="384"/>
      <c r="E128" s="384"/>
      <c r="F128" s="384"/>
      <c r="G128" s="384"/>
      <c r="H128" s="384"/>
      <c r="I128" s="384"/>
    </row>
    <row r="129" spans="1:9" ht="30" customHeight="1">
      <c r="A129" s="385"/>
      <c r="B129" s="385"/>
      <c r="C129" s="384"/>
      <c r="D129" s="384"/>
      <c r="E129" s="384"/>
      <c r="F129" s="384"/>
      <c r="G129" s="384"/>
      <c r="H129" s="384"/>
      <c r="I129" s="384"/>
    </row>
    <row r="130" spans="1:9" ht="30" customHeight="1">
      <c r="A130" s="384"/>
      <c r="B130" s="385"/>
      <c r="C130" s="384"/>
      <c r="D130" s="384"/>
      <c r="E130" s="384"/>
      <c r="F130" s="384"/>
      <c r="G130" s="384"/>
      <c r="H130" s="384"/>
      <c r="I130" s="384"/>
    </row>
    <row r="131" spans="1:9" ht="30" customHeight="1">
      <c r="A131" s="384"/>
      <c r="B131" s="385"/>
      <c r="C131" s="384"/>
      <c r="D131" s="384"/>
      <c r="E131" s="384"/>
      <c r="F131" s="384"/>
      <c r="G131" s="384"/>
      <c r="H131" s="384"/>
      <c r="I131" s="384"/>
    </row>
    <row r="132" spans="1:9" ht="30" customHeight="1">
      <c r="A132" s="384"/>
      <c r="B132" s="384"/>
      <c r="C132" s="384"/>
      <c r="D132" s="384"/>
      <c r="E132" s="384"/>
      <c r="F132" s="384"/>
      <c r="G132" s="384"/>
      <c r="H132" s="384"/>
      <c r="I132" s="384"/>
    </row>
    <row r="133" spans="1:9" ht="30" customHeight="1">
      <c r="A133" s="384"/>
      <c r="B133" s="384"/>
      <c r="C133" s="384"/>
      <c r="D133" s="384"/>
      <c r="E133" s="384"/>
      <c r="F133" s="384"/>
      <c r="G133" s="384"/>
      <c r="H133" s="384"/>
      <c r="I133" s="384"/>
    </row>
    <row r="134" spans="1:9" ht="30" customHeight="1">
      <c r="A134" s="384"/>
      <c r="B134" s="384"/>
      <c r="C134" s="384"/>
      <c r="D134" s="384"/>
      <c r="E134" s="384"/>
      <c r="F134" s="384"/>
      <c r="G134" s="384"/>
      <c r="H134" s="384"/>
      <c r="I134" s="384"/>
    </row>
    <row r="135" spans="1:9" ht="30" customHeight="1">
      <c r="A135" s="384"/>
      <c r="B135" s="384"/>
      <c r="C135" s="384"/>
      <c r="D135" s="384"/>
      <c r="E135" s="384"/>
      <c r="F135" s="384"/>
      <c r="G135" s="384"/>
      <c r="H135" s="384"/>
      <c r="I135" s="384"/>
    </row>
    <row r="136" spans="1:9" ht="30" customHeight="1">
      <c r="A136" s="384"/>
      <c r="B136" s="384"/>
      <c r="C136" s="384"/>
      <c r="D136" s="384"/>
      <c r="E136" s="384"/>
      <c r="F136" s="384"/>
      <c r="G136" s="384"/>
      <c r="H136" s="384"/>
      <c r="I136" s="384"/>
    </row>
    <row r="137" spans="1:9" ht="30" customHeight="1">
      <c r="A137" s="384"/>
      <c r="B137" s="384"/>
      <c r="C137" s="384"/>
      <c r="D137" s="384"/>
      <c r="E137" s="384"/>
      <c r="F137" s="384"/>
      <c r="G137" s="384"/>
      <c r="H137" s="384"/>
      <c r="I137" s="384"/>
    </row>
    <row r="138" spans="1:9" ht="30" customHeight="1">
      <c r="A138" s="384"/>
      <c r="B138" s="384"/>
      <c r="C138" s="384"/>
      <c r="D138" s="384"/>
      <c r="E138" s="384"/>
      <c r="F138" s="384"/>
      <c r="G138" s="384"/>
      <c r="H138" s="384"/>
      <c r="I138" s="384"/>
    </row>
    <row r="139" spans="1:9" ht="30" customHeight="1">
      <c r="A139" s="384"/>
      <c r="B139" s="384"/>
      <c r="C139" s="384"/>
      <c r="D139" s="384"/>
      <c r="E139" s="384"/>
      <c r="F139" s="384"/>
      <c r="G139" s="384"/>
      <c r="H139" s="384"/>
      <c r="I139" s="384"/>
    </row>
    <row r="140" spans="1:9" ht="30" customHeight="1">
      <c r="A140" s="384"/>
      <c r="B140" s="384"/>
      <c r="C140" s="384"/>
      <c r="D140" s="384"/>
      <c r="E140" s="384"/>
      <c r="F140" s="384"/>
    </row>
    <row r="141" spans="1:9" ht="30" customHeight="1">
      <c r="A141" s="384"/>
      <c r="B141" s="384"/>
      <c r="C141" s="384"/>
      <c r="D141" s="384"/>
      <c r="E141" s="384"/>
      <c r="F141" s="384"/>
    </row>
    <row r="142" spans="1:9" ht="30" customHeight="1">
      <c r="A142" s="384"/>
      <c r="B142" s="384"/>
      <c r="C142" s="384"/>
      <c r="D142" s="384"/>
      <c r="E142" s="384"/>
      <c r="F142" s="384"/>
    </row>
    <row r="143" spans="1:9" ht="30" customHeight="1">
      <c r="A143" s="384"/>
      <c r="B143" s="384"/>
      <c r="C143" s="384"/>
      <c r="D143" s="384"/>
      <c r="E143" s="384"/>
      <c r="F143" s="384"/>
    </row>
    <row r="144" spans="1:9" ht="30" customHeight="1">
      <c r="A144" s="384"/>
      <c r="B144" s="384"/>
      <c r="C144" s="384"/>
      <c r="D144" s="384"/>
      <c r="E144" s="384"/>
      <c r="F144" s="384"/>
    </row>
    <row r="145" spans="1:6" ht="30" customHeight="1">
      <c r="A145" s="384"/>
      <c r="B145" s="384"/>
      <c r="C145" s="384"/>
      <c r="D145" s="384"/>
      <c r="E145" s="384"/>
      <c r="F145" s="384"/>
    </row>
    <row r="146" spans="1:6" ht="30" customHeight="1">
      <c r="A146" s="384"/>
      <c r="B146" s="384"/>
      <c r="C146" s="384"/>
      <c r="D146" s="384"/>
      <c r="E146" s="384"/>
    </row>
    <row r="147" spans="1:6" ht="30" customHeight="1">
      <c r="E147" s="384"/>
    </row>
    <row r="148" spans="1:6" ht="30" customHeight="1">
      <c r="E148" s="384"/>
    </row>
    <row r="149" spans="1:6" ht="30" customHeight="1">
      <c r="E149" s="384"/>
    </row>
  </sheetData>
  <sheetProtection algorithmName="SHA-512" hashValue="vTIaWzdDcrkmxNqqGkO+lHd3qTsAoBQgXsvXVGXgVHlGufxYd7cyB/qsPo95Mh/zAaU2l6sIw1Md2F5mjEmyXA==" saltValue="ntsGcsOkUo1NZcJ8jlbmJw==" spinCount="100000" sheet="1" objects="1" selectLockedCells="1"/>
  <mergeCells count="36">
    <mergeCell ref="M86:Q86"/>
    <mergeCell ref="H115:I115"/>
    <mergeCell ref="H120:I120"/>
    <mergeCell ref="H125:I125"/>
    <mergeCell ref="X77:X78"/>
    <mergeCell ref="A74:E74"/>
    <mergeCell ref="G74:K74"/>
    <mergeCell ref="A77:E77"/>
    <mergeCell ref="A80:E80"/>
    <mergeCell ref="B81:C81"/>
    <mergeCell ref="D81:E81"/>
    <mergeCell ref="S65:X65"/>
    <mergeCell ref="A66:E66"/>
    <mergeCell ref="G67:K67"/>
    <mergeCell ref="M68:Q68"/>
    <mergeCell ref="A71:E71"/>
    <mergeCell ref="G60:K60"/>
    <mergeCell ref="A62:E62"/>
    <mergeCell ref="G63:K63"/>
    <mergeCell ref="A64:E64"/>
    <mergeCell ref="G65:K65"/>
    <mergeCell ref="A52:E52"/>
    <mergeCell ref="A55:E55"/>
    <mergeCell ref="M55:Q55"/>
    <mergeCell ref="G56:K56"/>
    <mergeCell ref="A57:E57"/>
    <mergeCell ref="A42:E42"/>
    <mergeCell ref="A44:E44"/>
    <mergeCell ref="A46:E46"/>
    <mergeCell ref="G46:K46"/>
    <mergeCell ref="G51:K51"/>
    <mergeCell ref="G40:K40"/>
    <mergeCell ref="M40:Q40"/>
    <mergeCell ref="S40:AV40"/>
    <mergeCell ref="G41:K41"/>
    <mergeCell ref="M41:Q41"/>
  </mergeCells>
  <phoneticPr fontId="36" type="noConversion"/>
  <dataValidations count="37">
    <dataValidation type="whole" allowBlank="1" showInputMessage="1" showErrorMessage="1" errorTitle="设置值超出范围" error="预留带宽设置值超出范围" sqref="D70">
      <formula1>0</formula1>
      <formula2>J66</formula2>
    </dataValidation>
    <dataValidation type="custom" allowBlank="1" showInputMessage="1" showErrorMessage="1" error="输入参数值为1或者2" sqref="B8">
      <formula1>OR((B8=1),(B8=2))</formula1>
    </dataValidation>
    <dataValidation allowBlank="1" showErrorMessage="1" promptTitle="参数变化" prompt="该参数会根据当前生效的水平像素Binning、水平像素抽样变化" sqref="B2 B3"/>
    <dataValidation type="whole" allowBlank="1" showInputMessage="1" showErrorMessage="1" error="设置值范围为0~包间隔最大值" sqref="B16">
      <formula1>0</formula1>
      <formula2>B17</formula2>
    </dataValidation>
    <dataValidation allowBlank="1" showInputMessage="1" showErrorMessage="1" error="输入范围是64~1024，步长为2" sqref="A1:B1"/>
    <dataValidation type="custom" allowBlank="1" showInputMessage="1" showErrorMessage="1" errorTitle="输入数值非法" error="输入范围是16~图像宽度最大值，步长为16" sqref="B4">
      <formula1>AND((B4&lt;=B2),(B4&gt;=4),(MOD(B4,4)=0))</formula1>
    </dataValidation>
    <dataValidation type="list" allowBlank="1" showInputMessage="1" showErrorMessage="1" sqref="D67">
      <formula1>"1000,10000"</formula1>
    </dataValidation>
    <dataValidation type="custom" allowBlank="1" showInputMessage="1" showErrorMessage="1" errorTitle="输入数值非法" error="输入范围是2~图像高度最大值，步长为2" sqref="B5">
      <formula1>AND((B5&lt;=B3),(B5&gt;=2),(MOD(B5,2)=0))</formula1>
    </dataValidation>
    <dataValidation type="custom" allowBlank="1" showInputMessage="1" showErrorMessage="1" error="输入参数值为1或者2，并且当水平像素抽样不为1时不能输入" sqref="B6">
      <formula1>AND(OR((B6=1),(B6=2)),B7=1)</formula1>
    </dataValidation>
    <dataValidation type="custom" allowBlank="1" showInputMessage="1" showErrorMessage="1" error="输入参数值为1或者2，并且当水平像素抽样不为1时不能输入" sqref="B7">
      <formula1>AND(OR((B7=1),(B7=2)),B6=1)</formula1>
    </dataValidation>
    <dataValidation type="whole" allowBlank="1" showInputMessage="1" showErrorMessage="1" errorTitle="超出范围" error="曝光时间的范围是14us-1s" sqref="B9">
      <formula1>10</formula1>
      <formula2>1000000</formula2>
    </dataValidation>
    <dataValidation type="custom" allowBlank="1" showInputMessage="1" showErrorMessage="1" error="请输入8或者12" sqref="B10">
      <formula1>OR((B10=8),(B10=12))</formula1>
    </dataValidation>
    <dataValidation type="custom" allowBlank="1" showInputMessage="1" showErrorMessage="1" error="请输入10000或者1000" sqref="B11">
      <formula1>OR((B11=10000),(B11=1000))</formula1>
    </dataValidation>
    <dataValidation type="list" allowBlank="1" showInputMessage="1" showErrorMessage="1" errorTitle="超出范围" error="请输入0或者1" sqref="B12 B20">
      <formula1>"0,1"</formula1>
    </dataValidation>
    <dataValidation type="custom" allowBlank="1" showInputMessage="1" showErrorMessage="1" error="设置值范围0.1~10000.0，精确到一位小数" sqref="B13">
      <formula1>AND(TRUNC(B13,1)=B13,(B13&gt;=0.1),(B13&lt;=10000))</formula1>
    </dataValidation>
    <dataValidation type="list" allowBlank="1" showInputMessage="1" showErrorMessage="1" sqref="C41">
      <formula1>$AU$42:$AU$45</formula1>
    </dataValidation>
    <dataValidation type="whole" allowBlank="1" showInputMessage="1" showErrorMessage="1" error="输入范围是[0,5000]，单位为us" sqref="B19">
      <formula1>0</formula1>
      <formula2>5000</formula2>
    </dataValidation>
    <dataValidation type="whole" allowBlank="1" showInputMessage="1" showErrorMessage="1" error="设置范围为0~预留带宽最大值" sqref="B14">
      <formula1>0</formula1>
      <formula2>B15</formula2>
    </dataValidation>
    <dataValidation type="custom" allowBlank="1" showInputMessage="1" showErrorMessage="1" error="输入范围是512~8192，步长为4" sqref="B18 C27">
      <formula1>AND((B18&lt;=8192),(B18&gt;=512),(MOD(B18,4)=0))</formula1>
    </dataValidation>
    <dataValidation type="whole" allowBlank="1" showInputMessage="1" showErrorMessage="1" errorTitle="设置值超出范围" error="包间隔设置值超出范围" sqref="D69">
      <formula1>J75</formula1>
      <formula2>J64</formula2>
    </dataValidation>
    <dataValidation type="whole" allowBlank="1" showInputMessage="1" showErrorMessage="1" errorTitle="输入数值非法" error="最小值2，最大值1000000" sqref="D51">
      <formula1>0</formula1>
      <formula2>1000000</formula2>
    </dataValidation>
    <dataValidation type="list" allowBlank="1" showInputMessage="1" showErrorMessage="1" sqref="C40">
      <formula1>$S$42:$S$56</formula1>
    </dataValidation>
    <dataValidation type="list" allowBlank="1" showInputMessage="1" showErrorMessage="1" sqref="D45">
      <formula1>"8,12"</formula1>
    </dataValidation>
    <dataValidation type="list" allowBlank="1" showInputMessage="1" showErrorMessage="1" errorTitle="超出范围" error="曝光时间的范围是14us-1s" sqref="D47">
      <formula1>"Timed,TriggerWidth"</formula1>
    </dataValidation>
    <dataValidation type="whole" allowBlank="1" showInputMessage="1" showErrorMessage="1" errorTitle="超出范围" error="曝光时间的范围是14us-1s" sqref="D48">
      <formula1>4</formula1>
      <formula2>1000000</formula2>
    </dataValidation>
    <dataValidation type="whole" allowBlank="1" showInputMessage="1" showErrorMessage="1" errorTitle="超出范围" error="曝光延迟的范围是0-5000us" sqref="D49">
      <formula1>0</formula1>
      <formula2>5000</formula2>
    </dataValidation>
    <dataValidation type="whole" allowBlank="1" showInputMessage="1" showErrorMessage="1" errorTitle="输入数值非法" error="最小值4，最大值D12" sqref="D50">
      <formula1>0</formula1>
      <formula2>(D61*D79+P47+P52+P54)*J43/1000+1</formula2>
    </dataValidation>
    <dataValidation type="whole" allowBlank="1" showInputMessage="1" showErrorMessage="1" errorTitle="超出范围" error="触发延时的范围是0-3000000us" sqref="D56">
      <formula1>0</formula1>
      <formula2>3000000</formula2>
    </dataValidation>
    <dataValidation type="whole" allowBlank="1" showInputMessage="1" showErrorMessage="1" errorTitle="输入数值非法" error="最小值4，最大值D12" sqref="D60">
      <formula1>4</formula1>
      <formula2>C60</formula2>
    </dataValidation>
    <dataValidation type="whole" allowBlank="1" showInputMessage="1" showErrorMessage="1" errorTitle="输入数值非法" error="最小值2，最大值D13" sqref="D61">
      <formula1>2</formula1>
      <formula2>C61</formula2>
    </dataValidation>
    <dataValidation type="list" allowBlank="1" showInputMessage="1" showErrorMessage="1" sqref="D63 D65 D53:D54">
      <formula1>"0,1"</formula1>
    </dataValidation>
    <dataValidation type="custom" allowBlank="1" showInputMessage="1" showErrorMessage="1" sqref="D68">
      <formula1>AND(MOD(D68,4)=0,D68&gt;=512,D68&lt;=16384)</formula1>
    </dataValidation>
    <dataValidation type="list" allowBlank="1" showInputMessage="1" showErrorMessage="1" errorTitle="超出范围" error="0:关闭_x000a_1:打开" sqref="D72">
      <formula1>"0,1"</formula1>
    </dataValidation>
    <dataValidation type="decimal" allowBlank="1" showInputMessage="1" showErrorMessage="1" sqref="D73">
      <formula1>0.1</formula1>
      <formula2>10000</formula2>
    </dataValidation>
    <dataValidation type="whole" operator="lessThanOrEqual" allowBlank="1" showInputMessage="1" showErrorMessage="1" error="Binning/Skipping系数最大为2" prompt="设置水平Binning/Skipping时，需要同步修改水平ROI" sqref="D75 D78">
      <formula1>2</formula1>
    </dataValidation>
    <dataValidation type="whole" operator="lessThanOrEqual" allowBlank="1" showInputMessage="1" showErrorMessage="1" error="Binning/Skipping系数最大为2" prompt="设置垂直Binning/Skipping时，需要同步修改垂直ROI" sqref="D76 D79">
      <formula1>2</formula1>
    </dataValidation>
    <dataValidation type="whole" operator="lessThanOrEqual" allowBlank="1" showInputMessage="1" showErrorMessage="1" sqref="D58:D59">
      <formula1>D60</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137"/>
  <sheetViews>
    <sheetView workbookViewId="0">
      <selection activeCell="E12" sqref="E12"/>
    </sheetView>
  </sheetViews>
  <sheetFormatPr defaultColWidth="9" defaultRowHeight="30" customHeight="1"/>
  <cols>
    <col min="1" max="1" width="29.25" style="2" customWidth="1"/>
    <col min="2" max="3" width="18.75" style="2" customWidth="1"/>
    <col min="4" max="10" width="9" style="2"/>
    <col min="11" max="11" width="28.625" style="1" customWidth="1"/>
    <col min="12" max="12" width="16" style="1" customWidth="1"/>
    <col min="13" max="13" width="14.875" style="1" customWidth="1"/>
    <col min="14" max="14" width="11.625" style="1" customWidth="1"/>
    <col min="15" max="15" width="6.75" style="1" customWidth="1"/>
    <col min="16" max="16" width="9.625" style="1" customWidth="1"/>
    <col min="17" max="17" width="17.75" style="1" customWidth="1"/>
    <col min="18" max="18" width="15.75" style="1" customWidth="1"/>
    <col min="19" max="19" width="57.375" style="1" customWidth="1"/>
    <col min="20" max="20" width="18.25" style="1" customWidth="1"/>
    <col min="21" max="22" width="4.5" style="1" customWidth="1"/>
    <col min="23" max="23" width="25.625" style="1" customWidth="1"/>
    <col min="24" max="24" width="22.875" style="1" customWidth="1"/>
    <col min="25" max="25" width="43.5" style="1" customWidth="1"/>
    <col min="26" max="26" width="10.25" style="1" customWidth="1"/>
    <col min="27" max="27" width="6.375" style="1" customWidth="1"/>
    <col min="28" max="28" width="4.875" style="1" customWidth="1"/>
    <col min="29" max="29" width="26.5" style="1" customWidth="1"/>
    <col min="30" max="30" width="13.125" style="1" customWidth="1"/>
    <col min="31" max="31" width="20.625" style="1" customWidth="1"/>
    <col min="32" max="32" width="23.375" style="1" customWidth="1"/>
    <col min="33" max="33" width="14.125" style="1" customWidth="1"/>
    <col min="34" max="34" width="18.875" style="1" customWidth="1"/>
    <col min="35" max="35" width="12" style="1" customWidth="1"/>
    <col min="36" max="36" width="14" style="1" customWidth="1"/>
    <col min="37" max="37" width="17" style="1" customWidth="1"/>
    <col min="38" max="38" width="20.375" style="1" customWidth="1"/>
    <col min="39" max="39" width="21" style="1" customWidth="1"/>
    <col min="40" max="40" width="20.25" style="1" customWidth="1"/>
    <col min="41" max="41" width="24.125" style="1" customWidth="1"/>
    <col min="42" max="42" width="11.625" style="1" customWidth="1"/>
    <col min="43" max="44" width="21.625" style="1" customWidth="1"/>
    <col min="45" max="45" width="17.25" style="1" customWidth="1"/>
    <col min="46" max="47" width="21.625" style="1" customWidth="1"/>
    <col min="48" max="48" width="19.375" style="1" customWidth="1"/>
    <col min="49" max="52" width="20.25" style="1" customWidth="1"/>
    <col min="53" max="54" width="23" style="1" customWidth="1"/>
    <col min="55" max="55" width="18.375" style="1" customWidth="1"/>
    <col min="56" max="16384" width="9" style="1"/>
  </cols>
  <sheetData>
    <row r="1" spans="1:55" customFormat="1" ht="14.25">
      <c r="A1" s="3"/>
      <c r="B1" s="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row>
    <row r="2" spans="1:55" customFormat="1" ht="13.5">
      <c r="A2" s="3" t="s">
        <v>17</v>
      </c>
      <c r="B2" s="3">
        <v>4512</v>
      </c>
    </row>
    <row r="3" spans="1:55" customFormat="1" ht="13.5">
      <c r="A3" s="3" t="s">
        <v>18</v>
      </c>
      <c r="B3" s="3">
        <v>4512</v>
      </c>
    </row>
    <row r="4" spans="1:55" customFormat="1" ht="13.5">
      <c r="A4" s="3" t="s">
        <v>19</v>
      </c>
      <c r="B4" s="4">
        <v>4512</v>
      </c>
    </row>
    <row r="5" spans="1:55" customFormat="1" ht="13.5">
      <c r="A5" s="3" t="s">
        <v>20</v>
      </c>
      <c r="B5" s="4">
        <v>4512</v>
      </c>
    </row>
    <row r="6" spans="1:55" customFormat="1" ht="13.5">
      <c r="A6" s="3" t="s">
        <v>21</v>
      </c>
      <c r="B6" s="4">
        <v>1</v>
      </c>
    </row>
    <row r="7" spans="1:55" customFormat="1" ht="13.5">
      <c r="A7" s="3" t="s">
        <v>22</v>
      </c>
      <c r="B7" s="4">
        <v>1</v>
      </c>
    </row>
    <row r="8" spans="1:55" customFormat="1" ht="13.5">
      <c r="A8" s="3" t="s">
        <v>23</v>
      </c>
      <c r="B8" s="4">
        <v>1</v>
      </c>
    </row>
    <row r="9" spans="1:55" customFormat="1" ht="13.5">
      <c r="A9" s="3" t="s">
        <v>24</v>
      </c>
      <c r="B9" s="4">
        <v>1</v>
      </c>
    </row>
    <row r="10" spans="1:55" customFormat="1" ht="13.5">
      <c r="A10" s="3" t="s">
        <v>25</v>
      </c>
      <c r="B10" s="4">
        <v>20000</v>
      </c>
    </row>
    <row r="11" spans="1:55" customFormat="1" ht="13.5">
      <c r="A11" s="3" t="s">
        <v>731</v>
      </c>
      <c r="B11" s="4" t="s">
        <v>732</v>
      </c>
    </row>
    <row r="12" spans="1:55" customFormat="1" ht="13.5">
      <c r="A12" s="3" t="s">
        <v>606</v>
      </c>
      <c r="B12" s="4" t="s">
        <v>732</v>
      </c>
    </row>
    <row r="13" spans="1:55" customFormat="1" ht="13.5">
      <c r="A13" s="3" t="s">
        <v>28</v>
      </c>
      <c r="B13" s="4">
        <v>0</v>
      </c>
    </row>
    <row r="14" spans="1:55" customFormat="1" ht="13.5">
      <c r="A14" s="3" t="s">
        <v>29</v>
      </c>
      <c r="B14" s="4">
        <v>42</v>
      </c>
    </row>
    <row r="15" spans="1:55" customFormat="1" ht="13.5">
      <c r="A15" s="3" t="s">
        <v>30</v>
      </c>
      <c r="B15" s="4">
        <v>2</v>
      </c>
    </row>
    <row r="16" spans="1:55" customFormat="1" ht="13.5">
      <c r="A16" s="3" t="s">
        <v>31</v>
      </c>
      <c r="B16" s="3">
        <f>T51</f>
        <v>99</v>
      </c>
    </row>
    <row r="17" spans="1:55" customFormat="1" ht="13.5">
      <c r="A17" s="3" t="s">
        <v>32</v>
      </c>
      <c r="B17" s="4">
        <v>0</v>
      </c>
    </row>
    <row r="18" spans="1:55" customFormat="1" ht="13.5">
      <c r="A18" s="3" t="s">
        <v>33</v>
      </c>
      <c r="B18" s="3">
        <f>T49</f>
        <v>3902508</v>
      </c>
    </row>
    <row r="19" spans="1:55" customFormat="1" ht="13.5">
      <c r="A19" s="3" t="s">
        <v>34</v>
      </c>
      <c r="B19" s="4">
        <v>8164</v>
      </c>
    </row>
    <row r="20" spans="1:55" customFormat="1" ht="13.5">
      <c r="A20" s="3" t="s">
        <v>35</v>
      </c>
      <c r="B20" s="4">
        <v>0</v>
      </c>
    </row>
    <row r="21" spans="1:55" customFormat="1" ht="13.5">
      <c r="A21" s="3" t="s">
        <v>36</v>
      </c>
      <c r="B21" s="4">
        <v>0</v>
      </c>
    </row>
    <row r="22" spans="1:55" customFormat="1" ht="13.5">
      <c r="A22" s="3"/>
      <c r="B22" s="4"/>
    </row>
    <row r="23" spans="1:55" customFormat="1" ht="13.5">
      <c r="A23" s="3" t="s">
        <v>37</v>
      </c>
      <c r="B23" s="4">
        <f>T29</f>
        <v>38.312708325351522</v>
      </c>
    </row>
    <row r="24" spans="1:55" customFormat="1" ht="30" hidden="1" customHeight="1">
      <c r="K24" s="5" t="s">
        <v>49</v>
      </c>
      <c r="L24" s="5" t="s">
        <v>50</v>
      </c>
      <c r="M24" s="6" t="s">
        <v>630</v>
      </c>
      <c r="N24" s="6" t="s">
        <v>609</v>
      </c>
      <c r="O24" s="7"/>
      <c r="P24" s="7"/>
      <c r="Q24" s="1276" t="s">
        <v>52</v>
      </c>
      <c r="R24" s="1277"/>
      <c r="S24" s="1277"/>
      <c r="T24" s="1277"/>
      <c r="U24" s="1278"/>
      <c r="V24" s="63"/>
      <c r="W24" s="1276" t="s">
        <v>53</v>
      </c>
      <c r="X24" s="1277"/>
      <c r="Y24" s="1277"/>
      <c r="Z24" s="1277"/>
      <c r="AA24" s="1278"/>
      <c r="AB24" s="63"/>
      <c r="AC24" s="1279" t="s">
        <v>54</v>
      </c>
      <c r="AD24" s="1280"/>
      <c r="AE24" s="1280"/>
      <c r="AF24" s="1280"/>
      <c r="AG24" s="1280"/>
      <c r="AH24" s="1280"/>
      <c r="AI24" s="1280"/>
      <c r="AJ24" s="1280"/>
      <c r="AK24" s="1280"/>
      <c r="AL24" s="1280"/>
      <c r="AM24" s="1280"/>
      <c r="AN24" s="1280"/>
      <c r="AO24" s="1280"/>
      <c r="AP24" s="1280"/>
      <c r="AQ24" s="1280"/>
      <c r="AR24" s="1280"/>
      <c r="AS24" s="1280"/>
      <c r="AT24" s="1280"/>
      <c r="AU24" s="1280"/>
      <c r="AV24" s="1280"/>
      <c r="AW24" s="1280"/>
      <c r="AX24" s="1280"/>
      <c r="AY24" s="1280"/>
      <c r="AZ24" s="1280"/>
      <c r="BA24" s="1280"/>
      <c r="BB24" s="1280"/>
      <c r="BC24" s="1281"/>
    </row>
    <row r="25" spans="1:55" customFormat="1" ht="30" hidden="1" customHeight="1">
      <c r="K25" s="5" t="s">
        <v>55</v>
      </c>
      <c r="L25" s="5" t="s">
        <v>56</v>
      </c>
      <c r="M25" s="6" t="s">
        <v>100</v>
      </c>
      <c r="N25" s="6" t="str">
        <f>B12</f>
        <v>AD12_GC8</v>
      </c>
      <c r="O25" s="7"/>
      <c r="P25" s="7"/>
      <c r="Q25" s="1282" t="s">
        <v>58</v>
      </c>
      <c r="R25" s="1283"/>
      <c r="S25" s="1283"/>
      <c r="T25" s="1283"/>
      <c r="U25" s="1284"/>
      <c r="V25" s="63"/>
      <c r="W25" s="1282" t="s">
        <v>59</v>
      </c>
      <c r="X25" s="1283"/>
      <c r="Y25" s="1283"/>
      <c r="Z25" s="1283"/>
      <c r="AA25" s="1284"/>
      <c r="AB25" s="63"/>
      <c r="AC25" s="114" t="s">
        <v>60</v>
      </c>
      <c r="AD25" s="115" t="s">
        <v>61</v>
      </c>
      <c r="AE25" s="115" t="s">
        <v>610</v>
      </c>
      <c r="AF25" s="115" t="s">
        <v>611</v>
      </c>
      <c r="AG25" s="115" t="s">
        <v>64</v>
      </c>
      <c r="AH25" s="115" t="s">
        <v>65</v>
      </c>
      <c r="AI25" s="115" t="s">
        <v>66</v>
      </c>
      <c r="AJ25" s="115" t="s">
        <v>67</v>
      </c>
      <c r="AK25" s="115" t="s">
        <v>68</v>
      </c>
      <c r="AL25" s="115" t="s">
        <v>69</v>
      </c>
      <c r="AM25" s="115" t="s">
        <v>70</v>
      </c>
      <c r="AN25" s="115" t="s">
        <v>71</v>
      </c>
      <c r="AO25" s="115" t="s">
        <v>612</v>
      </c>
      <c r="AP25" s="115" t="s">
        <v>613</v>
      </c>
      <c r="AQ25" s="115" t="s">
        <v>614</v>
      </c>
      <c r="AR25" s="115" t="s">
        <v>615</v>
      </c>
      <c r="AS25" s="115" t="s">
        <v>616</v>
      </c>
      <c r="AT25" s="157" t="s">
        <v>617</v>
      </c>
      <c r="AU25" s="115" t="s">
        <v>618</v>
      </c>
      <c r="AV25" s="115" t="s">
        <v>619</v>
      </c>
      <c r="AW25" s="115" t="s">
        <v>620</v>
      </c>
      <c r="AX25" s="115" t="s">
        <v>621</v>
      </c>
      <c r="AY25" s="169" t="s">
        <v>622</v>
      </c>
      <c r="AZ25" s="115" t="s">
        <v>623</v>
      </c>
      <c r="BA25" s="115" t="s">
        <v>624</v>
      </c>
      <c r="BB25" s="170" t="s">
        <v>625</v>
      </c>
      <c r="BC25" s="171" t="s">
        <v>626</v>
      </c>
    </row>
    <row r="26" spans="1:55" customFormat="1" ht="30" hidden="1" customHeight="1">
      <c r="K26" s="1276" t="s">
        <v>90</v>
      </c>
      <c r="L26" s="1277"/>
      <c r="M26" s="1277"/>
      <c r="N26" s="1277"/>
      <c r="O26" s="1278"/>
      <c r="P26" s="7"/>
      <c r="Q26" s="64" t="s">
        <v>91</v>
      </c>
      <c r="R26" s="65" t="s">
        <v>92</v>
      </c>
      <c r="S26" s="65" t="s">
        <v>93</v>
      </c>
      <c r="T26" s="65" t="s">
        <v>94</v>
      </c>
      <c r="U26" s="66" t="s">
        <v>95</v>
      </c>
      <c r="V26" s="63"/>
      <c r="W26" s="8" t="s">
        <v>91</v>
      </c>
      <c r="X26" s="9" t="s">
        <v>92</v>
      </c>
      <c r="Y26" s="9" t="s">
        <v>93</v>
      </c>
      <c r="Z26" s="9" t="s">
        <v>96</v>
      </c>
      <c r="AA26" s="116" t="s">
        <v>95</v>
      </c>
      <c r="AB26" s="63"/>
      <c r="AC26" s="117" t="s">
        <v>608</v>
      </c>
      <c r="AD26" s="118" t="s">
        <v>627</v>
      </c>
      <c r="AE26" s="118">
        <v>54000</v>
      </c>
      <c r="AF26" s="119">
        <v>120</v>
      </c>
      <c r="AG26" s="142">
        <v>1</v>
      </c>
      <c r="AH26" s="119">
        <v>16</v>
      </c>
      <c r="AI26" s="142">
        <v>0</v>
      </c>
      <c r="AJ26" s="142">
        <v>0</v>
      </c>
      <c r="AK26" s="118">
        <v>5328</v>
      </c>
      <c r="AL26" s="118">
        <v>8</v>
      </c>
      <c r="AM26" s="118">
        <v>5328</v>
      </c>
      <c r="AN26" s="118">
        <v>4608</v>
      </c>
      <c r="AO26" s="158">
        <f>IF((N60=1)*(N61=1)*(N63=1)*(N64=1),IF(OR(N25="BPP8",N25="AD12_GC8"),326,IF(N25="BPP10",477,477)),IF((N63=2)*(N64=2),IF(OR(N25="BPP8",N25="AD12_GC8"),168,IF(N25="BPP10",208,247)),IF(N25="BPP8",211,IF(N25="BPP10",220,IF(N25="AD12_GC8",304,304)))))</f>
        <v>326</v>
      </c>
      <c r="AP26" s="159">
        <v>121</v>
      </c>
      <c r="AQ26" s="158">
        <v>34</v>
      </c>
      <c r="AR26" s="158">
        <v>2460</v>
      </c>
      <c r="AS26" s="158"/>
      <c r="AT26" s="160" t="s">
        <v>628</v>
      </c>
      <c r="AU26" s="119">
        <v>20000</v>
      </c>
      <c r="AV26" s="158">
        <f>IF((N63=2)*(N64=2),2656,5328)</f>
        <v>5328</v>
      </c>
      <c r="AW26" s="158">
        <f>IF((N63=2)*(N64=2),2304,4608)</f>
        <v>4608</v>
      </c>
      <c r="AX26" s="118">
        <v>35</v>
      </c>
      <c r="AY26" s="172">
        <v>156.25</v>
      </c>
      <c r="AZ26" s="118">
        <v>0</v>
      </c>
      <c r="BA26" s="118" t="s">
        <v>100</v>
      </c>
      <c r="BB26" s="173">
        <v>0</v>
      </c>
      <c r="BC26" s="174">
        <v>20</v>
      </c>
    </row>
    <row r="27" spans="1:55" customFormat="1" ht="30" hidden="1" customHeight="1">
      <c r="K27" s="8" t="s">
        <v>91</v>
      </c>
      <c r="L27" s="9" t="s">
        <v>92</v>
      </c>
      <c r="M27" s="9" t="s">
        <v>101</v>
      </c>
      <c r="N27" s="9" t="s">
        <v>102</v>
      </c>
      <c r="O27" s="10" t="s">
        <v>95</v>
      </c>
      <c r="P27" s="7"/>
      <c r="Q27" s="15" t="s">
        <v>103</v>
      </c>
      <c r="R27" s="16" t="s">
        <v>104</v>
      </c>
      <c r="S27" s="55" t="s">
        <v>629</v>
      </c>
      <c r="T27" s="67">
        <f>ROUNDUP(1000000*Z31/Z28,0)</f>
        <v>5630</v>
      </c>
      <c r="U27" s="15" t="s">
        <v>106</v>
      </c>
      <c r="V27" s="63"/>
      <c r="W27" s="15" t="s">
        <v>107</v>
      </c>
      <c r="X27" s="16" t="s">
        <v>108</v>
      </c>
      <c r="Y27" s="16" t="s">
        <v>109</v>
      </c>
      <c r="Z27" s="120">
        <f>VLOOKUP($M$24,$AC$26:$BA$43,4,FALSE)</f>
        <v>120</v>
      </c>
      <c r="AA27" s="121" t="s">
        <v>110</v>
      </c>
      <c r="AB27" s="63"/>
      <c r="AC27" s="122" t="s">
        <v>630</v>
      </c>
      <c r="AD27" s="118" t="s">
        <v>631</v>
      </c>
      <c r="AE27" s="118">
        <v>54000</v>
      </c>
      <c r="AF27" s="119">
        <v>120</v>
      </c>
      <c r="AG27" s="142">
        <v>1</v>
      </c>
      <c r="AH27" s="119">
        <v>16</v>
      </c>
      <c r="AI27" s="143">
        <v>0</v>
      </c>
      <c r="AJ27" s="143">
        <v>0</v>
      </c>
      <c r="AK27" s="72">
        <v>4512</v>
      </c>
      <c r="AL27" s="72">
        <v>4512</v>
      </c>
      <c r="AM27" s="72">
        <v>4512</v>
      </c>
      <c r="AN27" s="72">
        <v>4512</v>
      </c>
      <c r="AO27" s="161">
        <f>IF((N60=1)*(N61=1)*(N63=1)*(N64=1),IF(N25="BPP8",273,IF(N25="BPP10",342,IF(N25="AD12_GC8",304,406))),IF((N63=2)*(N64=2),IF(N25="BPP8",145,IF(N25="BPP10",179,IF(N25="AD12_GC8",152,209))),IF(N25="BPP8",211,IF(N25="BPP10",220,IF(N25="AD12_GC8",304,304)))))</f>
        <v>304</v>
      </c>
      <c r="AP27" s="161">
        <v>124</v>
      </c>
      <c r="AQ27" s="162">
        <v>41</v>
      </c>
      <c r="AR27" s="162">
        <v>2460</v>
      </c>
      <c r="AS27" s="161"/>
      <c r="AT27" s="160" t="s">
        <v>628</v>
      </c>
      <c r="AU27" s="163">
        <v>20000</v>
      </c>
      <c r="AV27" s="161">
        <f>IF((N63=2)*(N64=2),2256,4512)</f>
        <v>4512</v>
      </c>
      <c r="AW27" s="161">
        <f>IF((N63=2)*(N64=2),2256,4512)</f>
        <v>4512</v>
      </c>
      <c r="AX27" s="163"/>
      <c r="AY27" s="172">
        <v>156.25</v>
      </c>
      <c r="AZ27" s="163">
        <v>0</v>
      </c>
      <c r="BA27" s="118" t="s">
        <v>100</v>
      </c>
      <c r="BB27" s="175">
        <v>0</v>
      </c>
      <c r="BC27" s="176">
        <v>20</v>
      </c>
    </row>
    <row r="28" spans="1:55" customFormat="1" ht="181.5" hidden="1" customHeight="1">
      <c r="K28" s="1282" t="s">
        <v>113</v>
      </c>
      <c r="L28" s="1283"/>
      <c r="M28" s="1283"/>
      <c r="N28" s="1283"/>
      <c r="O28" s="1284"/>
      <c r="P28" s="7"/>
      <c r="Q28" s="68" t="s">
        <v>114</v>
      </c>
      <c r="R28" s="30" t="s">
        <v>115</v>
      </c>
      <c r="S28" s="24" t="s">
        <v>632</v>
      </c>
      <c r="T28" s="69">
        <f>IF(N32="Ultrashort",IF(N38=1,ROUNDUP(MAX(T31,T32,T33),0),ROUNDUP(MAX(T31,T32,T33,T34),0)),IF(N38=1,IF(N31="TriggerWidth",ROUNDUP(MAX(T31,T53,T33)*T27/1000,0),IF(N39=0,ROUNDUP(MAX(T31,T32,T33)*T27/1000,0),ROUNDUP(MAX(T31,T32,T33,T34)*T27/1000,0))),ROUNDUP(MAX(T31,T32,T33,T34)*T27/1000,0)))</f>
        <v>26101</v>
      </c>
      <c r="U28" s="68" t="s">
        <v>117</v>
      </c>
      <c r="V28" s="1"/>
      <c r="W28" s="68" t="s">
        <v>633</v>
      </c>
      <c r="X28" s="30" t="s">
        <v>634</v>
      </c>
      <c r="Y28" s="30" t="s">
        <v>635</v>
      </c>
      <c r="Z28" s="123">
        <f>VLOOKUP($M$24,$AC$26:$BC$43,3,FALSE)</f>
        <v>54000</v>
      </c>
      <c r="AA28" s="121" t="s">
        <v>636</v>
      </c>
      <c r="AB28" s="1"/>
      <c r="AC28" s="124" t="s">
        <v>637</v>
      </c>
      <c r="AD28" s="124" t="s">
        <v>638</v>
      </c>
      <c r="AE28" s="124">
        <v>54000</v>
      </c>
      <c r="AF28" s="124">
        <v>120</v>
      </c>
      <c r="AG28" s="124">
        <v>1</v>
      </c>
      <c r="AH28" s="124">
        <v>16</v>
      </c>
      <c r="AI28" s="124">
        <v>0</v>
      </c>
      <c r="AJ28" s="124">
        <v>0</v>
      </c>
      <c r="AK28" s="124">
        <v>5328</v>
      </c>
      <c r="AL28" s="124">
        <v>8</v>
      </c>
      <c r="AM28" s="124">
        <v>5328</v>
      </c>
      <c r="AN28" s="124">
        <v>3040</v>
      </c>
      <c r="AO28" s="164">
        <f>IF((N60=1)*(N61=1)*(N63=1)*(N64=1),IF(OR(N25="BPP8",N25="AD12_GC8"),326,IF(N25="BPP10",477,477)),IF((N63=2)*(N64=2),IF(OR(N25="BPP8",N25="AD12_GC8"),168,IF(N25="BPP10",208,247)),IF(N25="BPP8",211,IF(N25="BPP10",220,IF(N25="AD12_GC8",304,304)))))</f>
        <v>326</v>
      </c>
      <c r="AP28" s="165">
        <v>144</v>
      </c>
      <c r="AQ28" s="165">
        <v>34</v>
      </c>
      <c r="AR28" s="166">
        <v>2460</v>
      </c>
      <c r="AS28" s="167"/>
      <c r="AT28" s="124" t="s">
        <v>628</v>
      </c>
      <c r="AU28" s="124">
        <v>10000</v>
      </c>
      <c r="AV28" s="124">
        <f>IF((N63=2)*(N64=2),2656,5328)</f>
        <v>5328</v>
      </c>
      <c r="AW28" s="124">
        <f>IF((N63=2)*(N64=2),1520,3040)</f>
        <v>3040</v>
      </c>
      <c r="AX28" s="124">
        <v>52</v>
      </c>
      <c r="AY28" s="177">
        <v>156.25</v>
      </c>
      <c r="AZ28" s="124">
        <v>0</v>
      </c>
      <c r="BA28" s="178" t="s">
        <v>100</v>
      </c>
      <c r="BB28" s="179">
        <v>0</v>
      </c>
      <c r="BC28" s="180">
        <v>20</v>
      </c>
    </row>
    <row r="29" spans="1:55" customFormat="1" ht="30" hidden="1" customHeight="1">
      <c r="K29" s="11" t="s">
        <v>121</v>
      </c>
      <c r="L29" s="12" t="s">
        <v>113</v>
      </c>
      <c r="M29" s="12">
        <v>8</v>
      </c>
      <c r="N29" s="13" t="str">
        <f>B11</f>
        <v>AD12_GC8</v>
      </c>
      <c r="O29" s="14" t="s">
        <v>122</v>
      </c>
      <c r="P29" s="7"/>
      <c r="Q29" s="20" t="s">
        <v>123</v>
      </c>
      <c r="R29" s="21" t="s">
        <v>58</v>
      </c>
      <c r="S29" s="28" t="s">
        <v>124</v>
      </c>
      <c r="T29" s="70">
        <f>1000000/T28</f>
        <v>38.312708325351522</v>
      </c>
      <c r="U29" s="20" t="s">
        <v>125</v>
      </c>
      <c r="V29" s="1"/>
      <c r="W29" s="68" t="s">
        <v>639</v>
      </c>
      <c r="X29" s="30" t="s">
        <v>640</v>
      </c>
      <c r="Y29" s="30" t="s">
        <v>109</v>
      </c>
      <c r="Z29" s="123">
        <f>VLOOKUP($M$24,$AC$26:$BC$43,7,FALSE)</f>
        <v>0</v>
      </c>
      <c r="AA29" s="125" t="s">
        <v>119</v>
      </c>
      <c r="AB29" s="1"/>
      <c r="AC29" s="126"/>
      <c r="AD29" s="127"/>
      <c r="AE29" s="127"/>
      <c r="AF29" s="127"/>
      <c r="AG29" s="144"/>
      <c r="AH29" s="144"/>
      <c r="AI29" s="144"/>
      <c r="AJ29" s="144"/>
      <c r="AK29" s="127"/>
      <c r="AL29" s="127"/>
      <c r="AM29" s="127"/>
      <c r="AN29" s="127"/>
      <c r="AO29" s="168"/>
      <c r="AP29" s="168"/>
      <c r="AQ29" s="168"/>
      <c r="AR29" s="168"/>
      <c r="AS29" s="168"/>
      <c r="AT29" s="127"/>
      <c r="AU29" s="127"/>
      <c r="AV29" s="168"/>
      <c r="AW29" s="168"/>
      <c r="AX29" s="127"/>
      <c r="AY29" s="181"/>
      <c r="AZ29" s="127"/>
      <c r="BA29" s="127"/>
      <c r="BB29" s="182"/>
      <c r="BC29" s="183"/>
    </row>
    <row r="30" spans="1:55" customFormat="1" ht="30" hidden="1" customHeight="1">
      <c r="K30" s="1282" t="s">
        <v>128</v>
      </c>
      <c r="L30" s="1283"/>
      <c r="M30" s="1283"/>
      <c r="N30" s="1283"/>
      <c r="O30" s="1284"/>
      <c r="P30" s="7"/>
      <c r="Q30" s="1282" t="s">
        <v>129</v>
      </c>
      <c r="R30" s="1283"/>
      <c r="S30" s="1283"/>
      <c r="T30" s="1283"/>
      <c r="U30" s="1284"/>
      <c r="V30" s="1"/>
      <c r="W30" s="68" t="s">
        <v>641</v>
      </c>
      <c r="X30" s="30" t="s">
        <v>640</v>
      </c>
      <c r="Y30" s="30" t="s">
        <v>109</v>
      </c>
      <c r="Z30" s="123">
        <f>VLOOKUP($M$24,$AC$26:$BC$43,8,FALSE)</f>
        <v>0</v>
      </c>
      <c r="AA30" s="125" t="s">
        <v>119</v>
      </c>
      <c r="AB30" s="1"/>
      <c r="AC30" s="128"/>
      <c r="AD30" s="128"/>
      <c r="AE30" s="128"/>
      <c r="AF30" s="128"/>
      <c r="AG30" s="128"/>
      <c r="AH30" s="128"/>
      <c r="AI30" s="128"/>
      <c r="AJ30" s="128"/>
      <c r="AK30" s="1"/>
      <c r="AL30" s="1"/>
      <c r="AM30" s="1"/>
      <c r="AN30" s="1"/>
      <c r="AO30" s="1"/>
      <c r="AP30" s="1"/>
      <c r="AQ30" s="1"/>
      <c r="AR30" s="1"/>
      <c r="AS30" s="1"/>
      <c r="AT30" s="1"/>
      <c r="AU30" s="1"/>
      <c r="AV30" s="1"/>
      <c r="AW30" s="1"/>
      <c r="AX30" s="1"/>
      <c r="AY30" s="1"/>
      <c r="AZ30" s="1"/>
      <c r="BA30" s="1"/>
      <c r="BB30" s="1"/>
      <c r="BC30" s="1"/>
    </row>
    <row r="31" spans="1:55" customFormat="1" ht="75.75" hidden="1" customHeight="1">
      <c r="K31" s="15" t="s">
        <v>132</v>
      </c>
      <c r="L31" s="16" t="s">
        <v>133</v>
      </c>
      <c r="M31" s="16" t="s">
        <v>134</v>
      </c>
      <c r="N31" s="17" t="s">
        <v>134</v>
      </c>
      <c r="O31" s="18"/>
      <c r="P31" s="7"/>
      <c r="Q31" s="15" t="s">
        <v>135</v>
      </c>
      <c r="R31" s="16" t="s">
        <v>136</v>
      </c>
      <c r="S31" s="55" t="s">
        <v>642</v>
      </c>
      <c r="T31" s="67">
        <f>IF(N32="Ultrashort",ROUNDUP((N46*N67+Z32)*T27/1000,0)+10,N46*N67+Z32)</f>
        <v>4636</v>
      </c>
      <c r="U31" s="71" t="str">
        <f>IF(N32="Ultrashort","us","line")</f>
        <v>line</v>
      </c>
      <c r="V31" s="1"/>
      <c r="W31" s="68" t="s">
        <v>643</v>
      </c>
      <c r="X31" s="30" t="s">
        <v>644</v>
      </c>
      <c r="Y31" s="30" t="s">
        <v>109</v>
      </c>
      <c r="Z31" s="123">
        <f>VLOOKUP($M$24,$AC$26:$BC$43,13,FALSE)</f>
        <v>304</v>
      </c>
      <c r="AA31" s="125" t="s">
        <v>119</v>
      </c>
      <c r="AB31" s="1"/>
      <c r="AC31" s="128"/>
      <c r="AD31" s="128"/>
      <c r="AE31" s="128"/>
      <c r="AF31" s="128"/>
      <c r="AG31" s="128"/>
      <c r="AH31" s="128"/>
      <c r="AI31" s="128"/>
      <c r="AJ31" s="128"/>
      <c r="AK31" s="1"/>
      <c r="AL31" s="1"/>
      <c r="AM31" s="1"/>
      <c r="AN31" s="1"/>
      <c r="AO31" s="1"/>
      <c r="AP31" s="1"/>
      <c r="AQ31" s="1"/>
      <c r="AR31" s="1"/>
      <c r="AS31" s="1"/>
      <c r="AT31" s="1"/>
      <c r="AU31" s="1"/>
      <c r="AV31" s="1"/>
      <c r="AW31" s="1"/>
      <c r="AX31" s="1"/>
      <c r="AY31" s="1"/>
      <c r="AZ31" s="1"/>
      <c r="BA31" s="1"/>
      <c r="BB31" s="1"/>
      <c r="BC31" s="1"/>
    </row>
    <row r="32" spans="1:55" customFormat="1" ht="84" hidden="1" customHeight="1">
      <c r="K32" s="15" t="s">
        <v>479</v>
      </c>
      <c r="L32" s="16" t="s">
        <v>480</v>
      </c>
      <c r="M32" s="16" t="s">
        <v>481</v>
      </c>
      <c r="N32" s="17" t="s">
        <v>481</v>
      </c>
      <c r="O32" s="18"/>
      <c r="P32" s="7"/>
      <c r="Q32" s="68" t="s">
        <v>142</v>
      </c>
      <c r="R32" s="30" t="s">
        <v>143</v>
      </c>
      <c r="S32" s="72" t="s">
        <v>645</v>
      </c>
      <c r="T32" s="73">
        <f>IF(N32="Ultrashort",T57,T59+IF(N50=0,0,ROUNDUP(Z37*1000/T27,0)))</f>
        <v>3593</v>
      </c>
      <c r="U32" s="71" t="str">
        <f>IF(N32="Ultrashort","us","line")</f>
        <v>line</v>
      </c>
      <c r="V32" s="1"/>
      <c r="W32" s="68" t="s">
        <v>646</v>
      </c>
      <c r="X32" s="30" t="s">
        <v>647</v>
      </c>
      <c r="Y32" s="30" t="s">
        <v>109</v>
      </c>
      <c r="Z32" s="123">
        <f>VLOOKUP($M$24,$AC$26:$BC$43,14,FALSE)</f>
        <v>124</v>
      </c>
      <c r="AA32" s="125" t="s">
        <v>140</v>
      </c>
      <c r="AB32" s="1"/>
      <c r="AC32" s="128"/>
      <c r="AD32" s="128"/>
      <c r="AE32" s="128"/>
      <c r="AF32" s="128"/>
      <c r="AG32" s="128"/>
      <c r="AH32" s="128"/>
      <c r="AI32" s="128"/>
      <c r="AJ32" s="128"/>
      <c r="AK32" s="1"/>
      <c r="AL32" s="1"/>
      <c r="AM32" s="1"/>
      <c r="AN32" s="1"/>
      <c r="AO32" s="1"/>
      <c r="AP32" s="1"/>
      <c r="AQ32" s="1"/>
      <c r="AR32" s="1"/>
      <c r="AS32" s="1"/>
      <c r="AT32" s="1"/>
      <c r="AU32" s="1"/>
      <c r="AV32" s="1"/>
      <c r="AW32" s="1"/>
      <c r="AX32" s="1"/>
      <c r="AY32" s="1"/>
      <c r="AZ32" s="1"/>
      <c r="BA32" s="1"/>
      <c r="BB32" s="1"/>
      <c r="BC32" s="1"/>
    </row>
    <row r="33" spans="11:55" customFormat="1" ht="112.5" hidden="1" customHeight="1">
      <c r="K33" s="15" t="s">
        <v>141</v>
      </c>
      <c r="L33" s="16" t="s">
        <v>128</v>
      </c>
      <c r="M33" s="16">
        <f>VLOOKUP($M$24,$AC$26:$BA$43,19,FALSE)</f>
        <v>20000</v>
      </c>
      <c r="N33" s="19">
        <f>B10</f>
        <v>20000</v>
      </c>
      <c r="O33" s="18" t="s">
        <v>117</v>
      </c>
      <c r="P33" s="7" t="str">
        <f>"0x"&amp;DEC2HEX(T55)</f>
        <v>0x1</v>
      </c>
      <c r="Q33" s="68" t="s">
        <v>149</v>
      </c>
      <c r="R33" s="30" t="s">
        <v>150</v>
      </c>
      <c r="S33" s="72" t="s">
        <v>648</v>
      </c>
      <c r="T33" s="73">
        <f>IF(N32="Ultrashort",ROUNDUP(((1000000/N58))*N57,0),ROUNDUP(((1000000000/N58)/T27)*N57,0))</f>
        <v>0</v>
      </c>
      <c r="U33" s="71" t="str">
        <f>IF(N32="Ultrashort","us","line")</f>
        <v>line</v>
      </c>
      <c r="V33" s="1"/>
      <c r="W33" s="68" t="s">
        <v>491</v>
      </c>
      <c r="X33" s="30" t="s">
        <v>649</v>
      </c>
      <c r="Y33" s="30" t="s">
        <v>109</v>
      </c>
      <c r="Z33" s="123">
        <f>VLOOKUP($M$24,$AC$26:$BC$43,15,FALSE)</f>
        <v>41</v>
      </c>
      <c r="AA33" s="125" t="s">
        <v>140</v>
      </c>
      <c r="AB33" s="1"/>
      <c r="AC33" s="128"/>
      <c r="AD33" s="128"/>
      <c r="AE33" s="128"/>
      <c r="AF33" s="128"/>
      <c r="AG33" s="128"/>
      <c r="AH33" s="128"/>
      <c r="AI33" s="145"/>
      <c r="AJ33" s="128"/>
      <c r="AK33" s="1"/>
      <c r="AL33" s="1"/>
      <c r="AM33" s="1"/>
      <c r="AN33" s="1"/>
      <c r="AO33" s="1"/>
      <c r="AP33" s="1"/>
      <c r="AQ33" s="1"/>
      <c r="AR33" s="1"/>
      <c r="AS33" s="1"/>
      <c r="AT33" s="1"/>
      <c r="AU33" s="1"/>
      <c r="AV33" s="1"/>
      <c r="AW33" s="1"/>
      <c r="AX33" s="1"/>
      <c r="AY33" s="1"/>
      <c r="AZ33" s="1"/>
      <c r="BA33" s="1"/>
      <c r="BB33" s="1"/>
      <c r="BC33" s="1"/>
    </row>
    <row r="34" spans="11:55" customFormat="1" ht="60" hidden="1" customHeight="1">
      <c r="K34" s="20" t="s">
        <v>147</v>
      </c>
      <c r="L34" s="21" t="s">
        <v>148</v>
      </c>
      <c r="M34" s="16">
        <v>0</v>
      </c>
      <c r="N34" s="22">
        <f>B20</f>
        <v>0</v>
      </c>
      <c r="O34" s="23" t="s">
        <v>117</v>
      </c>
      <c r="P34" s="7" t="str">
        <f>"0x"&amp;IF(N31="TriggerWidth",DEC2HEX(MAX(T31,T33)),IF(N39=0,DEC2HEX(MAX(T31,T32,IF(N50=1,0,T33))),DEC2HEX(MAX(T31,T32,IF(N50=1,0,T33),T34))))</f>
        <v>0x121C</v>
      </c>
      <c r="Q34" s="20" t="s">
        <v>156</v>
      </c>
      <c r="R34" s="28" t="s">
        <v>157</v>
      </c>
      <c r="S34" s="28" t="s">
        <v>158</v>
      </c>
      <c r="T34" s="74">
        <f>IF(N32="Ultrashort",Z69,ROUNDUP(Z69*1000/T27,0))</f>
        <v>2983</v>
      </c>
      <c r="U34" s="71" t="str">
        <f>IF(N32="Ultrashort","us","line")</f>
        <v>line</v>
      </c>
      <c r="V34" s="1"/>
      <c r="W34" s="68" t="s">
        <v>650</v>
      </c>
      <c r="X34" s="30" t="s">
        <v>651</v>
      </c>
      <c r="Y34" s="30" t="s">
        <v>109</v>
      </c>
      <c r="Z34" s="123">
        <f>VLOOKUP($M$24,$AC$26:$BC$43,16,FALSE)</f>
        <v>2460</v>
      </c>
      <c r="AA34" s="919" t="s">
        <v>106</v>
      </c>
      <c r="AB34" s="1"/>
      <c r="AC34" s="128"/>
      <c r="AD34" s="128"/>
      <c r="AE34" s="128"/>
      <c r="AF34" s="128"/>
      <c r="AG34" s="128"/>
      <c r="AH34" s="128"/>
      <c r="AI34" s="145"/>
      <c r="AJ34" s="128"/>
      <c r="AK34" s="1"/>
      <c r="AL34" s="1"/>
      <c r="AM34" s="1"/>
      <c r="AN34" s="1"/>
      <c r="AO34" s="1"/>
      <c r="AP34" s="1"/>
      <c r="AQ34" s="1"/>
      <c r="AR34" s="1"/>
      <c r="AS34" s="1"/>
      <c r="AT34" s="1"/>
      <c r="AU34" s="1"/>
      <c r="AV34" s="1"/>
      <c r="AW34" s="1"/>
      <c r="AX34" s="1"/>
      <c r="AY34" s="1"/>
      <c r="AZ34" s="1"/>
      <c r="BA34" s="1"/>
      <c r="BB34" s="1"/>
      <c r="BC34" s="1"/>
    </row>
    <row r="35" spans="11:55" customFormat="1" ht="87.75" hidden="1" customHeight="1">
      <c r="K35" s="24" t="s">
        <v>155</v>
      </c>
      <c r="L35" s="25" t="str">
        <f>"交叠曝光时间 
范围:0"&amp;"-"&amp;ROUNDUP(((T31-Z33)*T27/1000),0)</f>
        <v>交叠曝光时间 
范围:0-25870</v>
      </c>
      <c r="M35" s="16">
        <f>ROUNDUP((T31-Z33)*T27/1000,0)</f>
        <v>25870</v>
      </c>
      <c r="N35" s="19">
        <v>0</v>
      </c>
      <c r="O35" s="23" t="s">
        <v>117</v>
      </c>
      <c r="P35" s="7"/>
      <c r="Q35" s="1282" t="s">
        <v>164</v>
      </c>
      <c r="R35" s="1283"/>
      <c r="S35" s="1283"/>
      <c r="T35" s="1283"/>
      <c r="U35" s="1284"/>
      <c r="V35" s="1"/>
      <c r="W35" s="68" t="s">
        <v>652</v>
      </c>
      <c r="X35" s="30" t="s">
        <v>653</v>
      </c>
      <c r="Y35" s="21" t="s">
        <v>109</v>
      </c>
      <c r="Z35" s="123">
        <f>VLOOKUP($M$24,$AC$26:$BC$43,27,FALSE)</f>
        <v>20</v>
      </c>
      <c r="AA35" s="125" t="s">
        <v>117</v>
      </c>
      <c r="AB35" s="1"/>
      <c r="AC35" s="128"/>
      <c r="AD35" s="129"/>
      <c r="AE35" s="128"/>
      <c r="AF35" s="128"/>
      <c r="AG35" s="128"/>
      <c r="AH35" s="128"/>
      <c r="AI35" s="145"/>
      <c r="AJ35" s="128"/>
      <c r="AK35" s="1"/>
      <c r="AL35" s="1"/>
      <c r="AM35" s="1"/>
      <c r="AN35" s="1"/>
      <c r="AO35" s="1"/>
      <c r="AP35" s="1"/>
      <c r="AQ35" s="1"/>
      <c r="AR35" s="1"/>
      <c r="AS35" s="1"/>
      <c r="AT35" s="1"/>
      <c r="AU35" s="1"/>
      <c r="AV35" s="1"/>
      <c r="AW35" s="1"/>
      <c r="AX35" s="1"/>
      <c r="AY35" s="1"/>
      <c r="AZ35" s="1"/>
      <c r="BA35" s="1"/>
      <c r="BB35" s="1"/>
      <c r="BC35" s="1"/>
    </row>
    <row r="36" spans="11:55" customFormat="1" ht="87.75" hidden="1" customHeight="1">
      <c r="K36" s="26" t="s">
        <v>161</v>
      </c>
      <c r="L36" s="27" t="s">
        <v>162</v>
      </c>
      <c r="M36" s="28" t="s">
        <v>163</v>
      </c>
      <c r="N36" s="29">
        <v>0</v>
      </c>
      <c r="O36" s="23" t="s">
        <v>117</v>
      </c>
      <c r="P36" s="7"/>
      <c r="Q36" s="75" t="s">
        <v>654</v>
      </c>
      <c r="R36" s="76" t="s">
        <v>655</v>
      </c>
      <c r="S36" s="76" t="s">
        <v>656</v>
      </c>
      <c r="T36" s="67">
        <f>IF(N32="Ultrashort",IF(N33&gt;Z34/1000,ROUNDUP((N33*1000-Z34)/1000,0),1),MAX(ROUNDUP((N33*1000-Z34)/T27,0),1))</f>
        <v>3552</v>
      </c>
      <c r="U36" s="71" t="str">
        <f>IF(N32="Ultrashort","us","line")</f>
        <v>line</v>
      </c>
      <c r="V36" s="1"/>
      <c r="W36" s="68" t="s">
        <v>657</v>
      </c>
      <c r="X36" s="30"/>
      <c r="Y36" s="21" t="s">
        <v>109</v>
      </c>
      <c r="Z36" s="123">
        <f>VLOOKUP($M$24,$AC$26:$BC$43,17,FALSE)</f>
        <v>0</v>
      </c>
      <c r="AA36" s="125"/>
      <c r="AB36" s="1"/>
      <c r="AC36" s="128"/>
      <c r="AD36" s="128"/>
      <c r="AE36" s="128"/>
      <c r="AF36" s="128"/>
      <c r="AG36" s="128"/>
      <c r="AH36" s="128"/>
      <c r="AI36" s="145"/>
      <c r="AJ36" s="128"/>
      <c r="AK36" s="1"/>
      <c r="AL36" s="1"/>
      <c r="AM36" s="1"/>
      <c r="AN36" s="1"/>
      <c r="AO36" s="1"/>
      <c r="AP36" s="1"/>
      <c r="AQ36" s="1"/>
      <c r="AR36" s="1"/>
      <c r="AS36" s="1"/>
      <c r="AT36" s="1"/>
      <c r="AU36" s="1"/>
      <c r="AV36" s="1"/>
      <c r="AW36" s="1"/>
      <c r="AX36" s="1"/>
      <c r="AY36" s="1"/>
      <c r="AZ36" s="1"/>
      <c r="BA36" s="1"/>
      <c r="BB36" s="1"/>
      <c r="BC36" s="1"/>
    </row>
    <row r="37" spans="11:55" customFormat="1" ht="87.75" hidden="1" customHeight="1">
      <c r="K37" s="1285" t="s">
        <v>167</v>
      </c>
      <c r="L37" s="1286"/>
      <c r="M37" s="1286"/>
      <c r="N37" s="1286"/>
      <c r="O37" s="1287"/>
      <c r="P37" s="7"/>
      <c r="Q37" s="75" t="s">
        <v>658</v>
      </c>
      <c r="R37" s="76" t="s">
        <v>659</v>
      </c>
      <c r="S37" s="76" t="s">
        <v>660</v>
      </c>
      <c r="T37" s="69">
        <f>IF(AND(N33&gt;Z34/1000,N33&lt;=Z35),ROUNDUP((1000*N33-Z34)/1000,0),0)</f>
        <v>0</v>
      </c>
      <c r="U37" s="77" t="str">
        <f>IF(OR(N32="Ultrashort",AND(N32="Standard",N33&lt;=Z35)),"us","line")</f>
        <v>line</v>
      </c>
      <c r="V37" s="1"/>
      <c r="W37" s="68" t="s">
        <v>176</v>
      </c>
      <c r="X37" s="30" t="s">
        <v>177</v>
      </c>
      <c r="Y37" s="30" t="s">
        <v>109</v>
      </c>
      <c r="Z37" s="130">
        <f>VLOOKUP($M$24,$AC$26:$BC$43,26,FALSE)</f>
        <v>0</v>
      </c>
      <c r="AA37" s="125" t="s">
        <v>117</v>
      </c>
      <c r="AB37" s="1"/>
      <c r="AC37" s="128"/>
      <c r="AD37" s="128"/>
      <c r="AE37" s="128"/>
      <c r="AF37" s="128"/>
      <c r="AG37" s="128"/>
      <c r="AH37" s="128"/>
      <c r="AI37" s="145"/>
      <c r="AJ37" s="128"/>
      <c r="AK37" s="1"/>
      <c r="AL37" s="1"/>
      <c r="AM37" s="1"/>
      <c r="AN37" s="1"/>
      <c r="AO37" s="1"/>
      <c r="AP37" s="1"/>
      <c r="AQ37" s="1"/>
      <c r="AR37" s="1"/>
      <c r="AS37" s="1"/>
      <c r="AT37" s="1"/>
      <c r="AU37" s="1"/>
      <c r="AV37" s="1"/>
      <c r="AW37" s="1"/>
      <c r="AX37" s="1"/>
      <c r="AY37" s="1"/>
      <c r="AZ37" s="1"/>
      <c r="BA37" s="1"/>
      <c r="BB37" s="1"/>
      <c r="BC37" s="1"/>
    </row>
    <row r="38" spans="11:55" customFormat="1" ht="109.5" hidden="1" customHeight="1">
      <c r="K38" s="30" t="s">
        <v>172</v>
      </c>
      <c r="L38" s="30" t="s">
        <v>167</v>
      </c>
      <c r="M38" s="30">
        <v>0</v>
      </c>
      <c r="N38" s="31">
        <f>B21</f>
        <v>0</v>
      </c>
      <c r="O38" s="32"/>
      <c r="P38" s="7"/>
      <c r="Q38" s="78" t="s">
        <v>173</v>
      </c>
      <c r="R38" s="79" t="s">
        <v>661</v>
      </c>
      <c r="S38" s="79" t="s">
        <v>662</v>
      </c>
      <c r="T38" s="69">
        <f>IF(N32="Ultrashort",N34,ROUNDUP((N34*1000)/T27,0))</f>
        <v>0</v>
      </c>
      <c r="U38" s="71" t="str">
        <f>IF(N32="Ultrashort","us","line")</f>
        <v>line</v>
      </c>
      <c r="V38" s="1"/>
      <c r="W38" s="80" t="s">
        <v>183</v>
      </c>
      <c r="X38" s="81" t="s">
        <v>184</v>
      </c>
      <c r="Y38" s="81" t="s">
        <v>109</v>
      </c>
      <c r="Z38" s="123">
        <f>VLOOKUP($M$24,$AC$26:$BC$43,24,FALSE)</f>
        <v>0</v>
      </c>
      <c r="AA38" s="121" t="s">
        <v>140</v>
      </c>
      <c r="AB38" s="1"/>
      <c r="AC38" s="128"/>
      <c r="AD38" s="128"/>
      <c r="AE38" s="128"/>
      <c r="AF38" s="128"/>
      <c r="AG38" s="128"/>
      <c r="AH38" s="128"/>
      <c r="AI38" s="145"/>
      <c r="AJ38" s="128"/>
      <c r="AK38" s="1"/>
      <c r="AL38" s="1"/>
      <c r="AM38" s="1"/>
      <c r="AN38" s="1"/>
      <c r="AO38" s="1"/>
      <c r="AP38" s="1"/>
      <c r="AQ38" s="1"/>
      <c r="AR38" s="1"/>
      <c r="AS38" s="1"/>
      <c r="AT38" s="1"/>
      <c r="AU38" s="1"/>
      <c r="AV38" s="1"/>
      <c r="AW38" s="1"/>
      <c r="AX38" s="1"/>
      <c r="AY38" s="1"/>
      <c r="AZ38" s="1"/>
      <c r="BA38" s="1"/>
      <c r="BB38" s="1"/>
      <c r="BC38" s="1"/>
    </row>
    <row r="39" spans="11:55" customFormat="1" ht="111" hidden="1" customHeight="1">
      <c r="K39" s="11" t="s">
        <v>178</v>
      </c>
      <c r="L39" s="12" t="s">
        <v>179</v>
      </c>
      <c r="M39" s="12">
        <v>0</v>
      </c>
      <c r="N39" s="33">
        <v>0</v>
      </c>
      <c r="O39" s="14"/>
      <c r="P39" s="7"/>
      <c r="Q39" s="78" t="s">
        <v>500</v>
      </c>
      <c r="R39" s="79" t="s">
        <v>663</v>
      </c>
      <c r="S39" s="79" t="s">
        <v>664</v>
      </c>
      <c r="T39" s="82">
        <f>IF(N32="Ultrashort",200,IF((N33+4*T27/1000)&gt;100,(N33+4*T27/1000),100))</f>
        <v>20022.52</v>
      </c>
      <c r="U39" s="83" t="s">
        <v>117</v>
      </c>
      <c r="V39" s="1"/>
      <c r="W39" s="1288" t="s">
        <v>189</v>
      </c>
      <c r="X39" s="1289"/>
      <c r="Y39" s="1289"/>
      <c r="Z39" s="1289"/>
      <c r="AA39" s="1290"/>
      <c r="AB39" s="1"/>
      <c r="AC39" s="128"/>
      <c r="AD39" s="128"/>
      <c r="AE39" s="128"/>
      <c r="AF39" s="128"/>
      <c r="AG39" s="128"/>
      <c r="AH39" s="128"/>
      <c r="AI39" s="145"/>
      <c r="AJ39" s="128"/>
      <c r="AK39" s="1"/>
      <c r="AL39" s="1"/>
      <c r="AM39" s="1"/>
      <c r="AN39" s="1"/>
      <c r="AO39" s="1"/>
      <c r="AP39" s="1"/>
      <c r="AQ39" s="1"/>
      <c r="AR39" s="1"/>
      <c r="AS39" s="1"/>
      <c r="AT39" s="1"/>
      <c r="AU39" s="1"/>
      <c r="AV39" s="1"/>
      <c r="AW39" s="1"/>
      <c r="AX39" s="1"/>
      <c r="AY39" s="1"/>
      <c r="AZ39" s="1"/>
      <c r="BA39" s="1"/>
      <c r="BB39" s="1"/>
      <c r="BC39" s="1"/>
    </row>
    <row r="40" spans="11:55" customFormat="1" ht="111" hidden="1" customHeight="1">
      <c r="K40" s="1288" t="s">
        <v>185</v>
      </c>
      <c r="L40" s="1289"/>
      <c r="M40" s="1289"/>
      <c r="N40" s="1289"/>
      <c r="O40" s="1290"/>
      <c r="P40" s="7"/>
      <c r="Q40" s="78" t="s">
        <v>506</v>
      </c>
      <c r="R40" s="79" t="s">
        <v>665</v>
      </c>
      <c r="S40" s="79" t="s">
        <v>666</v>
      </c>
      <c r="T40" s="82">
        <f>IF(N32="Ultrashort",ROUNDUP((N46*N67+11+Z36)*T27/1000,0),N46*N67+11+Z36)</f>
        <v>4523</v>
      </c>
      <c r="U40" s="71" t="str">
        <f>IF(N32="Ultrashort","us","line")</f>
        <v>line</v>
      </c>
      <c r="V40" s="1"/>
      <c r="W40" s="8" t="s">
        <v>91</v>
      </c>
      <c r="X40" s="9" t="s">
        <v>92</v>
      </c>
      <c r="Y40" s="9" t="s">
        <v>93</v>
      </c>
      <c r="Z40" s="9" t="s">
        <v>96</v>
      </c>
      <c r="AA40" s="116" t="s">
        <v>95</v>
      </c>
      <c r="AB40" s="1"/>
      <c r="AC40" s="128"/>
      <c r="AD40" s="128"/>
      <c r="AE40" s="128"/>
      <c r="AF40" s="128"/>
      <c r="AG40" s="128"/>
      <c r="AH40" s="128"/>
      <c r="AI40" s="146"/>
      <c r="AJ40" s="146"/>
      <c r="AK40" s="1"/>
      <c r="AL40" s="1"/>
      <c r="AM40" s="1"/>
      <c r="AN40" s="1"/>
      <c r="AO40" s="1"/>
      <c r="AP40" s="1"/>
      <c r="AQ40" s="1"/>
      <c r="AR40" s="1"/>
      <c r="AS40" s="1"/>
      <c r="AT40" s="1"/>
      <c r="AU40" s="1"/>
      <c r="AV40" s="1"/>
      <c r="AW40" s="1"/>
      <c r="AX40" s="1"/>
      <c r="AY40" s="1"/>
      <c r="AZ40" s="1"/>
      <c r="BA40" s="1"/>
      <c r="BB40" s="1"/>
      <c r="BC40" s="1"/>
    </row>
    <row r="41" spans="11:55" customFormat="1" ht="60.75" hidden="1" customHeight="1">
      <c r="K41" s="11" t="s">
        <v>190</v>
      </c>
      <c r="L41" s="12" t="s">
        <v>191</v>
      </c>
      <c r="M41" s="12">
        <v>0</v>
      </c>
      <c r="N41" s="13">
        <v>0</v>
      </c>
      <c r="O41" s="14" t="s">
        <v>117</v>
      </c>
      <c r="P41" s="7"/>
      <c r="Q41" s="1288" t="s">
        <v>192</v>
      </c>
      <c r="R41" s="1289"/>
      <c r="S41" s="1289"/>
      <c r="T41" s="1289"/>
      <c r="U41" s="1290"/>
      <c r="V41" s="1"/>
      <c r="W41" s="15" t="s">
        <v>198</v>
      </c>
      <c r="X41" s="16" t="s">
        <v>199</v>
      </c>
      <c r="Y41" s="16" t="s">
        <v>200</v>
      </c>
      <c r="Z41" s="120">
        <v>7</v>
      </c>
      <c r="AA41" s="121" t="s">
        <v>201</v>
      </c>
      <c r="AB41" s="1"/>
      <c r="AC41" s="128"/>
      <c r="AD41" s="128"/>
      <c r="AE41" s="128"/>
      <c r="AF41" s="128"/>
      <c r="AG41" s="128"/>
      <c r="AH41" s="128"/>
      <c r="AI41" s="146"/>
      <c r="AJ41" s="146"/>
      <c r="AK41" s="1"/>
      <c r="AL41" s="1"/>
      <c r="AM41" s="1"/>
      <c r="AN41" s="1"/>
      <c r="AO41" s="1"/>
      <c r="AP41" s="1"/>
      <c r="AQ41" s="1"/>
      <c r="AR41" s="1"/>
      <c r="AS41" s="1"/>
      <c r="AT41" s="1"/>
      <c r="AU41" s="1"/>
      <c r="AV41" s="1"/>
      <c r="AW41" s="1"/>
      <c r="AX41" s="1"/>
      <c r="AY41" s="1"/>
      <c r="AZ41" s="1"/>
      <c r="BA41" s="1"/>
      <c r="BB41" s="1"/>
      <c r="BC41" s="1"/>
    </row>
    <row r="42" spans="11:55" customFormat="1" ht="30" hidden="1" customHeight="1">
      <c r="K42" s="1288" t="s">
        <v>193</v>
      </c>
      <c r="L42" s="1289"/>
      <c r="M42" s="1289"/>
      <c r="N42" s="1289"/>
      <c r="O42" s="36"/>
      <c r="P42" s="7"/>
      <c r="Q42" s="54" t="s">
        <v>194</v>
      </c>
      <c r="R42" s="55" t="s">
        <v>195</v>
      </c>
      <c r="S42" s="55" t="s">
        <v>196</v>
      </c>
      <c r="T42" s="84">
        <f>T29*Z58</f>
        <v>779975633.11750519</v>
      </c>
      <c r="U42" s="85" t="s">
        <v>197</v>
      </c>
      <c r="V42" s="1"/>
      <c r="W42" s="68" t="s">
        <v>207</v>
      </c>
      <c r="X42" s="30" t="s">
        <v>208</v>
      </c>
      <c r="Y42" s="30" t="s">
        <v>209</v>
      </c>
      <c r="Z42" s="130">
        <v>1</v>
      </c>
      <c r="AA42" s="125" t="s">
        <v>201</v>
      </c>
      <c r="AB42" s="1"/>
      <c r="AC42" s="128"/>
      <c r="AD42" s="128"/>
      <c r="AE42" s="128"/>
      <c r="AF42" s="128"/>
      <c r="AG42" s="128"/>
      <c r="AH42" s="128"/>
      <c r="AI42" s="146"/>
      <c r="AJ42" s="146"/>
      <c r="AK42" s="1"/>
      <c r="AL42" s="1"/>
      <c r="AM42" s="1"/>
      <c r="AN42" s="1"/>
      <c r="AO42" s="1"/>
      <c r="AP42" s="1"/>
      <c r="AQ42" s="1"/>
      <c r="AR42" s="1"/>
      <c r="AS42" s="1"/>
      <c r="AT42" s="1"/>
      <c r="AU42" s="1"/>
      <c r="AV42" s="1"/>
      <c r="AW42" s="1"/>
      <c r="AX42" s="1"/>
      <c r="AY42" s="1"/>
      <c r="AZ42" s="1"/>
      <c r="BA42" s="1"/>
      <c r="BB42" s="1"/>
      <c r="BC42" s="1"/>
    </row>
    <row r="43" spans="11:55" customFormat="1" ht="30" hidden="1" customHeight="1">
      <c r="K43" s="15" t="s">
        <v>203</v>
      </c>
      <c r="L43" s="16" t="s">
        <v>202</v>
      </c>
      <c r="M43" s="16">
        <v>0</v>
      </c>
      <c r="N43" s="37">
        <v>0</v>
      </c>
      <c r="O43" s="38" t="s">
        <v>119</v>
      </c>
      <c r="P43" s="7"/>
      <c r="Q43" s="86" t="s">
        <v>204</v>
      </c>
      <c r="R43" s="87" t="s">
        <v>205</v>
      </c>
      <c r="S43" s="24" t="s">
        <v>206</v>
      </c>
      <c r="T43" s="69">
        <f>T29*Z65</f>
        <v>785925979.84751546</v>
      </c>
      <c r="U43" s="88" t="s">
        <v>197</v>
      </c>
      <c r="V43" s="1"/>
      <c r="W43" s="68" t="s">
        <v>215</v>
      </c>
      <c r="X43" s="30" t="s">
        <v>216</v>
      </c>
      <c r="Y43" s="30" t="s">
        <v>217</v>
      </c>
      <c r="Z43" s="130">
        <v>14</v>
      </c>
      <c r="AA43" s="125" t="s">
        <v>201</v>
      </c>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row>
    <row r="44" spans="11:55" customFormat="1" ht="30" hidden="1" customHeight="1">
      <c r="K44" s="39" t="s">
        <v>211</v>
      </c>
      <c r="L44" s="24" t="s">
        <v>210</v>
      </c>
      <c r="M44" s="24">
        <v>0</v>
      </c>
      <c r="N44" s="40">
        <v>0</v>
      </c>
      <c r="O44" s="41" t="s">
        <v>119</v>
      </c>
      <c r="P44" s="7"/>
      <c r="Q44" s="89" t="s">
        <v>212</v>
      </c>
      <c r="R44" s="90" t="s">
        <v>213</v>
      </c>
      <c r="S44" s="28" t="s">
        <v>214</v>
      </c>
      <c r="T44" s="82">
        <f>1250*N52*(100-N55)</f>
        <v>1225000000</v>
      </c>
      <c r="U44" s="91" t="s">
        <v>197</v>
      </c>
      <c r="V44" s="1"/>
      <c r="W44" s="68" t="s">
        <v>220</v>
      </c>
      <c r="X44" s="30" t="s">
        <v>221</v>
      </c>
      <c r="Y44" s="30" t="s">
        <v>222</v>
      </c>
      <c r="Z44" s="130">
        <v>20</v>
      </c>
      <c r="AA44" s="125" t="s">
        <v>201</v>
      </c>
      <c r="AB44" s="63"/>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row>
    <row r="45" spans="11:55" customFormat="1" ht="70.5" hidden="1" customHeight="1">
      <c r="K45" s="39" t="s">
        <v>19</v>
      </c>
      <c r="L45" s="24" t="s">
        <v>218</v>
      </c>
      <c r="M45" s="24">
        <f>VLOOKUP($M$24,$AC$26:$BA$43,20,FALSE)</f>
        <v>4512</v>
      </c>
      <c r="N45" s="40">
        <f>B4</f>
        <v>4512</v>
      </c>
      <c r="O45" s="41" t="s">
        <v>119</v>
      </c>
      <c r="P45" s="7"/>
      <c r="Q45" s="34" t="s">
        <v>219</v>
      </c>
      <c r="R45" s="35"/>
      <c r="S45" s="35"/>
      <c r="T45" s="35"/>
      <c r="U45" s="36"/>
      <c r="V45" s="1"/>
      <c r="W45" s="68" t="s">
        <v>227</v>
      </c>
      <c r="X45" s="30" t="s">
        <v>228</v>
      </c>
      <c r="Y45" s="30" t="s">
        <v>229</v>
      </c>
      <c r="Z45" s="130">
        <v>8</v>
      </c>
      <c r="AA45" s="125" t="s">
        <v>201</v>
      </c>
      <c r="AB45" s="63"/>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row>
    <row r="46" spans="11:55" s="1" customFormat="1" ht="45" hidden="1" customHeight="1">
      <c r="K46" s="42" t="s">
        <v>20</v>
      </c>
      <c r="L46" s="28" t="s">
        <v>223</v>
      </c>
      <c r="M46" s="28">
        <f>VLOOKUP($M$24,$AC$26:$BA$43,21,FALSE)</f>
        <v>4512</v>
      </c>
      <c r="N46" s="43">
        <f>B5</f>
        <v>4512</v>
      </c>
      <c r="O46" s="23" t="s">
        <v>119</v>
      </c>
      <c r="P46" s="7"/>
      <c r="Q46" s="92" t="s">
        <v>224</v>
      </c>
      <c r="R46" s="93" t="s">
        <v>225</v>
      </c>
      <c r="S46" s="55" t="s">
        <v>226</v>
      </c>
      <c r="T46" s="67">
        <f>IF(N52=10000,0,IF(N52=5000,1,IF(N52=2500,2,IF(N52=1000,3,3))))</f>
        <v>0</v>
      </c>
      <c r="U46" s="85" t="s">
        <v>163</v>
      </c>
      <c r="W46" s="68" t="s">
        <v>234</v>
      </c>
      <c r="X46" s="30" t="s">
        <v>235</v>
      </c>
      <c r="Y46" s="30" t="s">
        <v>229</v>
      </c>
      <c r="Z46" s="130">
        <v>8</v>
      </c>
      <c r="AA46" s="125" t="s">
        <v>201</v>
      </c>
      <c r="AB46" s="63"/>
    </row>
    <row r="47" spans="11:55" s="1" customFormat="1" ht="45.75" hidden="1" customHeight="1">
      <c r="K47" s="1288" t="s">
        <v>230</v>
      </c>
      <c r="L47" s="1289"/>
      <c r="M47" s="1289"/>
      <c r="N47" s="1289"/>
      <c r="O47" s="1290"/>
      <c r="P47" s="7"/>
      <c r="Q47" s="94" t="s">
        <v>231</v>
      </c>
      <c r="R47" s="95" t="s">
        <v>232</v>
      </c>
      <c r="S47" s="26" t="s">
        <v>233</v>
      </c>
      <c r="T47" s="96">
        <f>ROUNDUP(N54*VLOOKUP($M$24,$AC$26:$BA$29,23,FALSE)/1000,0)</f>
        <v>0</v>
      </c>
      <c r="U47" s="97" t="s">
        <v>154</v>
      </c>
      <c r="W47" s="68" t="s">
        <v>239</v>
      </c>
      <c r="X47" s="30" t="s">
        <v>240</v>
      </c>
      <c r="Y47" s="30" t="s">
        <v>241</v>
      </c>
      <c r="Z47" s="130">
        <v>4</v>
      </c>
      <c r="AA47" s="125" t="s">
        <v>201</v>
      </c>
    </row>
    <row r="48" spans="11:55" s="1" customFormat="1" ht="48" hidden="1" customHeight="1">
      <c r="K48" s="44" t="s">
        <v>237</v>
      </c>
      <c r="L48" s="45" t="s">
        <v>236</v>
      </c>
      <c r="M48" s="46">
        <v>0</v>
      </c>
      <c r="N48" s="47">
        <v>0</v>
      </c>
      <c r="O48" s="48" t="s">
        <v>122</v>
      </c>
      <c r="P48" s="7"/>
      <c r="Q48" s="34" t="s">
        <v>238</v>
      </c>
      <c r="R48" s="35"/>
      <c r="S48" s="35"/>
      <c r="T48" s="35"/>
      <c r="U48" s="36"/>
      <c r="W48" s="68" t="s">
        <v>246</v>
      </c>
      <c r="X48" s="30" t="s">
        <v>247</v>
      </c>
      <c r="Y48" s="30" t="s">
        <v>248</v>
      </c>
      <c r="Z48" s="130">
        <v>12</v>
      </c>
      <c r="AA48" s="125" t="s">
        <v>201</v>
      </c>
    </row>
    <row r="49" spans="11:55" customFormat="1" ht="69.75" hidden="1" customHeight="1">
      <c r="K49" s="1288" t="s">
        <v>242</v>
      </c>
      <c r="L49" s="1289"/>
      <c r="M49" s="1289"/>
      <c r="N49" s="1289"/>
      <c r="O49" s="1290"/>
      <c r="P49" s="1"/>
      <c r="Q49" s="98" t="s">
        <v>243</v>
      </c>
      <c r="R49" s="99" t="s">
        <v>244</v>
      </c>
      <c r="S49" s="100" t="s">
        <v>245</v>
      </c>
      <c r="T49" s="101">
        <f>IF(ROUNDUP(Z72*1000*8/N52,0)&gt;200000000,200000000,ROUNDUP(Z72*1000*8/N52,0))</f>
        <v>3902508</v>
      </c>
      <c r="U49" s="102" t="s">
        <v>106</v>
      </c>
      <c r="V49" s="1"/>
      <c r="W49" s="68" t="s">
        <v>252</v>
      </c>
      <c r="X49" s="24" t="s">
        <v>253</v>
      </c>
      <c r="Y49" s="30" t="s">
        <v>254</v>
      </c>
      <c r="Z49" s="130">
        <f>Z44+Z45+Z46</f>
        <v>36</v>
      </c>
      <c r="AA49" s="125" t="s">
        <v>201</v>
      </c>
      <c r="AB49" s="1"/>
      <c r="AC49" s="1288" t="s">
        <v>255</v>
      </c>
      <c r="AD49" s="1289"/>
      <c r="AE49" s="1289"/>
      <c r="AF49" s="1289"/>
      <c r="AG49" s="1289"/>
      <c r="AH49" s="1291"/>
      <c r="AI49" s="1"/>
      <c r="AJ49" s="1"/>
      <c r="AK49" s="1"/>
      <c r="AL49" s="1"/>
      <c r="AM49" s="1"/>
      <c r="AN49" s="1"/>
      <c r="AO49" s="1"/>
      <c r="AP49" s="1"/>
      <c r="AQ49" s="1"/>
      <c r="AR49" s="1"/>
      <c r="AS49" s="1"/>
      <c r="AT49" s="1"/>
      <c r="AU49" s="1"/>
      <c r="AV49" s="1"/>
      <c r="AW49" s="1"/>
      <c r="AX49" s="1"/>
      <c r="AY49" s="1"/>
      <c r="AZ49" s="1"/>
      <c r="BA49" s="1"/>
      <c r="BB49" s="1"/>
      <c r="BC49" s="1"/>
    </row>
    <row r="50" spans="11:55" customFormat="1" ht="62.25" hidden="1" customHeight="1">
      <c r="K50" s="49" t="s">
        <v>250</v>
      </c>
      <c r="L50" s="50" t="s">
        <v>249</v>
      </c>
      <c r="M50" s="51">
        <v>0</v>
      </c>
      <c r="N50" s="52">
        <v>0</v>
      </c>
      <c r="O50" s="53" t="s">
        <v>122</v>
      </c>
      <c r="P50" s="1"/>
      <c r="Q50" s="34" t="s">
        <v>251</v>
      </c>
      <c r="R50" s="35"/>
      <c r="S50" s="35"/>
      <c r="T50" s="35"/>
      <c r="U50" s="36"/>
      <c r="V50" s="1"/>
      <c r="W50" s="68" t="s">
        <v>260</v>
      </c>
      <c r="X50" s="24" t="s">
        <v>261</v>
      </c>
      <c r="Y50" s="30" t="s">
        <v>262</v>
      </c>
      <c r="Z50" s="130">
        <f>Z41+Z42+Z43+Z47</f>
        <v>26</v>
      </c>
      <c r="AA50" s="125" t="s">
        <v>201</v>
      </c>
      <c r="AB50" s="1"/>
      <c r="AC50" s="8" t="s">
        <v>263</v>
      </c>
      <c r="AD50" s="9" t="s">
        <v>264</v>
      </c>
      <c r="AE50" s="9" t="s">
        <v>92</v>
      </c>
      <c r="AF50" s="9" t="s">
        <v>93</v>
      </c>
      <c r="AG50" s="147" t="s">
        <v>265</v>
      </c>
      <c r="AH50" s="10" t="s">
        <v>266</v>
      </c>
      <c r="AI50" s="1"/>
      <c r="AJ50" s="1"/>
      <c r="AK50" s="1"/>
      <c r="AL50" s="1"/>
      <c r="AM50" s="1"/>
      <c r="AN50" s="1"/>
      <c r="AO50" s="1"/>
      <c r="AP50" s="1"/>
      <c r="AQ50" s="1"/>
      <c r="AR50" s="1"/>
      <c r="AS50" s="1"/>
      <c r="AT50" s="1"/>
      <c r="AU50" s="1"/>
      <c r="AV50" s="1"/>
      <c r="AW50" s="1"/>
      <c r="AX50" s="1"/>
      <c r="AY50" s="1"/>
      <c r="AZ50" s="1"/>
      <c r="BA50" s="1"/>
      <c r="BB50" s="1"/>
      <c r="BC50" s="1"/>
    </row>
    <row r="51" spans="11:55" customFormat="1" ht="50.25" hidden="1" customHeight="1">
      <c r="K51" s="1288" t="s">
        <v>256</v>
      </c>
      <c r="L51" s="1289"/>
      <c r="M51" s="1289"/>
      <c r="N51" s="1289"/>
      <c r="O51" s="1290"/>
      <c r="P51" s="1"/>
      <c r="Q51" s="98" t="s">
        <v>257</v>
      </c>
      <c r="R51" s="99" t="s">
        <v>251</v>
      </c>
      <c r="S51" s="100" t="s">
        <v>258</v>
      </c>
      <c r="T51" s="101">
        <f>IF((100-ROUNDDOWN(10*Z67/(125000*N52),0)-1)&lt;0,0,(100-ROUNDDOWN(10*Z67/(125000*N52),0)-1))</f>
        <v>99</v>
      </c>
      <c r="U51" s="102" t="s">
        <v>259</v>
      </c>
      <c r="V51" s="1"/>
      <c r="W51" s="20" t="s">
        <v>271</v>
      </c>
      <c r="X51" s="21" t="s">
        <v>272</v>
      </c>
      <c r="Y51" s="21" t="s">
        <v>273</v>
      </c>
      <c r="Z51" s="74">
        <f>64-Z43-Z47-Z49</f>
        <v>10</v>
      </c>
      <c r="AA51" s="131" t="s">
        <v>201</v>
      </c>
      <c r="AB51" s="1"/>
      <c r="AC51" s="132" t="s">
        <v>667</v>
      </c>
      <c r="AD51" s="55" t="s">
        <v>668</v>
      </c>
      <c r="AE51" s="133" t="s">
        <v>669</v>
      </c>
      <c r="AF51" s="16" t="s">
        <v>543</v>
      </c>
      <c r="AG51" s="148" t="str">
        <f>"0x"&amp;DEC2HEX(T31)</f>
        <v>0x121C</v>
      </c>
      <c r="AH51" s="149"/>
      <c r="AI51" s="1"/>
      <c r="AJ51" s="1"/>
      <c r="AK51" s="1"/>
      <c r="AL51" s="1"/>
      <c r="AM51" s="1"/>
      <c r="AN51" s="1"/>
      <c r="AO51" s="1"/>
      <c r="AP51" s="1"/>
      <c r="AQ51" s="1"/>
      <c r="AR51" s="1"/>
      <c r="AS51" s="1"/>
      <c r="AT51" s="1"/>
      <c r="AU51" s="1"/>
      <c r="AV51" s="1"/>
      <c r="AW51" s="1"/>
      <c r="AX51" s="1"/>
      <c r="AY51" s="1"/>
      <c r="AZ51" s="1"/>
      <c r="BA51" s="1"/>
      <c r="BB51" s="1"/>
      <c r="BC51" s="1"/>
    </row>
    <row r="52" spans="11:55" customFormat="1" ht="156" hidden="1" customHeight="1">
      <c r="K52" s="54" t="s">
        <v>268</v>
      </c>
      <c r="L52" s="55" t="s">
        <v>267</v>
      </c>
      <c r="M52" s="56" t="s">
        <v>122</v>
      </c>
      <c r="N52" s="57">
        <v>10000</v>
      </c>
      <c r="O52" s="18" t="s">
        <v>269</v>
      </c>
      <c r="P52" s="1"/>
      <c r="Q52" s="34" t="s">
        <v>270</v>
      </c>
      <c r="R52" s="35"/>
      <c r="S52" s="35"/>
      <c r="T52" s="35"/>
      <c r="U52" s="36"/>
      <c r="V52" s="1"/>
      <c r="W52" s="1288" t="s">
        <v>280</v>
      </c>
      <c r="X52" s="1289"/>
      <c r="Y52" s="1289"/>
      <c r="Z52" s="1289"/>
      <c r="AA52" s="1290"/>
      <c r="AB52" s="1"/>
      <c r="AC52" s="134" t="s">
        <v>522</v>
      </c>
      <c r="AD52" s="55" t="s">
        <v>670</v>
      </c>
      <c r="AE52" s="135" t="s">
        <v>524</v>
      </c>
      <c r="AF52" s="30" t="s">
        <v>525</v>
      </c>
      <c r="AG52" s="150" t="str">
        <f>"0x"&amp;DEC2HEX(IF(N32="Ultrashort",54,Z31))</f>
        <v>0x130</v>
      </c>
      <c r="AH52" s="151" t="s">
        <v>671</v>
      </c>
      <c r="AI52" s="1"/>
      <c r="AJ52" s="1"/>
      <c r="AK52" s="1"/>
      <c r="AL52" s="1"/>
      <c r="AM52" s="1"/>
      <c r="AN52" s="1"/>
      <c r="AO52" s="1"/>
      <c r="AP52" s="1"/>
      <c r="AQ52" s="1"/>
      <c r="AR52" s="1"/>
      <c r="AS52" s="1"/>
      <c r="AT52" s="1"/>
      <c r="AU52" s="1"/>
      <c r="AV52" s="1"/>
      <c r="AW52" s="1"/>
      <c r="AX52" s="1"/>
      <c r="AY52" s="1"/>
      <c r="AZ52" s="1"/>
      <c r="BA52" s="1"/>
      <c r="BB52" s="1"/>
      <c r="BC52" s="1"/>
    </row>
    <row r="53" spans="11:55" customFormat="1" ht="84.75" hidden="1" customHeight="1">
      <c r="K53" s="39" t="s">
        <v>34</v>
      </c>
      <c r="L53" s="24" t="s">
        <v>276</v>
      </c>
      <c r="M53" s="58">
        <v>1500</v>
      </c>
      <c r="N53" s="40">
        <f>B19</f>
        <v>8164</v>
      </c>
      <c r="O53" s="41" t="s">
        <v>201</v>
      </c>
      <c r="P53" s="1"/>
      <c r="Q53" s="92" t="s">
        <v>277</v>
      </c>
      <c r="R53" s="93" t="s">
        <v>278</v>
      </c>
      <c r="S53" s="55" t="s">
        <v>672</v>
      </c>
      <c r="T53" s="103" t="str">
        <f>IF((N38=1)*(N31="TriggerWidth"),T31+IF(ROUNDUP((1000*N36/T27),0)&gt;T55,ROUNDUP((1000*N36/T27),0)-T55,0),"null")</f>
        <v>null</v>
      </c>
      <c r="U53" s="104" t="s">
        <v>140</v>
      </c>
      <c r="V53" s="1"/>
      <c r="W53" s="8" t="s">
        <v>91</v>
      </c>
      <c r="X53" s="9" t="s">
        <v>92</v>
      </c>
      <c r="Y53" s="9" t="s">
        <v>93</v>
      </c>
      <c r="Z53" s="9" t="s">
        <v>96</v>
      </c>
      <c r="AA53" s="116" t="s">
        <v>95</v>
      </c>
      <c r="AB53" s="1"/>
      <c r="AC53" s="134" t="s">
        <v>673</v>
      </c>
      <c r="AD53" s="55" t="s">
        <v>674</v>
      </c>
      <c r="AE53" s="135" t="s">
        <v>675</v>
      </c>
      <c r="AF53" s="30" t="s">
        <v>533</v>
      </c>
      <c r="AG53" s="150" t="str">
        <f>"0X"&amp;DEC2HEX(T38)</f>
        <v>0X0</v>
      </c>
      <c r="AH53" s="151"/>
      <c r="AI53" s="1"/>
      <c r="AJ53" s="1"/>
      <c r="AK53" s="1"/>
      <c r="AL53" s="1"/>
      <c r="AM53" s="1"/>
      <c r="AN53" s="1"/>
      <c r="AO53" s="1"/>
      <c r="AP53" s="1"/>
      <c r="AQ53" s="1"/>
      <c r="AR53" s="1"/>
      <c r="AS53" s="1"/>
      <c r="AT53" s="1"/>
      <c r="AU53" s="1"/>
      <c r="AV53" s="1"/>
      <c r="AW53" s="1"/>
      <c r="AX53" s="1"/>
      <c r="AY53" s="1"/>
      <c r="AZ53" s="1"/>
      <c r="BA53" s="1"/>
      <c r="BB53" s="1"/>
      <c r="BC53" s="1"/>
    </row>
    <row r="54" spans="11:55" customFormat="1" ht="57" hidden="1" customHeight="1">
      <c r="K54" s="59" t="s">
        <v>32</v>
      </c>
      <c r="L54" s="24" t="str">
        <f>"流通道包间隔 
范围:0"&amp;"-"&amp;T49</f>
        <v>流通道包间隔 
范围:0-3902508</v>
      </c>
      <c r="M54" s="58">
        <v>0</v>
      </c>
      <c r="N54" s="40">
        <f>B17</f>
        <v>0</v>
      </c>
      <c r="O54" s="41" t="s">
        <v>106</v>
      </c>
      <c r="P54" s="1"/>
      <c r="Q54" s="94" t="s">
        <v>283</v>
      </c>
      <c r="R54" s="95" t="s">
        <v>284</v>
      </c>
      <c r="S54" s="26" t="s">
        <v>676</v>
      </c>
      <c r="T54" s="105" t="str">
        <f>IF((N38=1)*(N31="TriggerWidth"),IF(N36&gt;N35,(ROUNDUP((1000*N36/T27),0)*T27+Z34)/1000,(ROUNDUP((1000*N35/T27),0)*T27+Z34)/1000),"null")</f>
        <v>null</v>
      </c>
      <c r="U54" s="97" t="s">
        <v>117</v>
      </c>
      <c r="V54" s="1"/>
      <c r="W54" s="15" t="s">
        <v>288</v>
      </c>
      <c r="X54" s="55" t="s">
        <v>289</v>
      </c>
      <c r="Y54" s="16" t="s">
        <v>290</v>
      </c>
      <c r="Z54" s="120">
        <f>36</f>
        <v>36</v>
      </c>
      <c r="AA54" s="121" t="s">
        <v>201</v>
      </c>
      <c r="AB54" s="1"/>
      <c r="AC54" s="134" t="s">
        <v>677</v>
      </c>
      <c r="AD54" s="55" t="s">
        <v>678</v>
      </c>
      <c r="AE54" s="135" t="s">
        <v>679</v>
      </c>
      <c r="AF54" s="30" t="s">
        <v>680</v>
      </c>
      <c r="AG54" s="150" t="str">
        <f>"0x"&amp;DEC2HEX(T55)</f>
        <v>0x1</v>
      </c>
      <c r="AH54" s="151"/>
      <c r="AI54" s="1"/>
      <c r="AJ54" s="1"/>
      <c r="AK54" s="1"/>
      <c r="AL54" s="1"/>
      <c r="AM54" s="1"/>
      <c r="AN54" s="1"/>
      <c r="AO54" s="1"/>
      <c r="AP54" s="1"/>
      <c r="AQ54" s="1"/>
      <c r="AR54" s="1"/>
      <c r="AS54" s="1"/>
      <c r="AT54" s="1"/>
      <c r="AU54" s="1"/>
      <c r="AV54" s="1"/>
      <c r="AW54" s="1"/>
      <c r="AX54" s="1"/>
      <c r="AY54" s="1"/>
      <c r="AZ54" s="1"/>
      <c r="BA54" s="1"/>
      <c r="BB54" s="1"/>
      <c r="BC54" s="1"/>
    </row>
    <row r="55" spans="11:55" s="1" customFormat="1" ht="75.75" hidden="1" customHeight="1">
      <c r="K55" s="60" t="s">
        <v>30</v>
      </c>
      <c r="L55" s="26" t="str">
        <f>"预留带宽 
范围:0-"&amp;T51</f>
        <v>预留带宽 
范围:0-99</v>
      </c>
      <c r="M55" s="61">
        <v>10</v>
      </c>
      <c r="N55" s="43">
        <f>B15</f>
        <v>2</v>
      </c>
      <c r="O55" s="23" t="s">
        <v>259</v>
      </c>
      <c r="Q55" s="94" t="s">
        <v>681</v>
      </c>
      <c r="R55" s="95" t="s">
        <v>559</v>
      </c>
      <c r="S55" s="26" t="s">
        <v>560</v>
      </c>
      <c r="T55" s="105">
        <f>MAX(INT(N35*1000/T27),1)</f>
        <v>1</v>
      </c>
      <c r="U55" s="106" t="s">
        <v>140</v>
      </c>
      <c r="W55" s="68" t="s">
        <v>294</v>
      </c>
      <c r="X55" s="24" t="s">
        <v>295</v>
      </c>
      <c r="Y55" s="30" t="s">
        <v>296</v>
      </c>
      <c r="Z55" s="130">
        <v>10</v>
      </c>
      <c r="AA55" s="125" t="s">
        <v>201</v>
      </c>
      <c r="AC55" s="134" t="s">
        <v>682</v>
      </c>
      <c r="AD55" s="55" t="s">
        <v>683</v>
      </c>
      <c r="AE55" s="135" t="s">
        <v>684</v>
      </c>
      <c r="AF55" s="24" t="s">
        <v>685</v>
      </c>
      <c r="AG55" s="150" t="str">
        <f>"0x"&amp;DEC2HEX(IF(N33&lt;=Z34/1000,1,T36))</f>
        <v>0xDE0</v>
      </c>
      <c r="AH55" s="151"/>
    </row>
    <row r="56" spans="11:55" s="1" customFormat="1" ht="50.1" hidden="1" customHeight="1">
      <c r="K56" s="1288" t="s">
        <v>293</v>
      </c>
      <c r="L56" s="1289"/>
      <c r="M56" s="1289"/>
      <c r="N56" s="1289"/>
      <c r="O56" s="1290"/>
      <c r="Q56" s="107" t="s">
        <v>686</v>
      </c>
      <c r="R56" s="108"/>
      <c r="S56" s="109" t="s">
        <v>686</v>
      </c>
      <c r="T56" s="109"/>
      <c r="U56" s="110"/>
      <c r="W56" s="111" t="s">
        <v>301</v>
      </c>
      <c r="X56" s="112" t="s">
        <v>302</v>
      </c>
      <c r="Y56" s="112" t="s">
        <v>303</v>
      </c>
      <c r="Z56" s="69">
        <v>60</v>
      </c>
      <c r="AA56" s="88" t="s">
        <v>201</v>
      </c>
      <c r="AC56" s="134" t="s">
        <v>687</v>
      </c>
      <c r="AD56" s="55" t="s">
        <v>688</v>
      </c>
      <c r="AE56" s="135" t="s">
        <v>689</v>
      </c>
      <c r="AF56" s="30" t="s">
        <v>548</v>
      </c>
      <c r="AG56" s="150" t="str">
        <f>IF(N33&gt;Z35,"0x"&amp;DEC2HEX(MAX(T31,T32,T33,T34)),"0x"&amp;DEC2HEX(MAX(T31,T32+1,T33,T34)))</f>
        <v>0x121C</v>
      </c>
      <c r="AH56" s="151"/>
    </row>
    <row r="57" spans="11:55" s="1" customFormat="1" ht="75" hidden="1" customHeight="1">
      <c r="K57" s="15" t="s">
        <v>300</v>
      </c>
      <c r="L57" s="16" t="s">
        <v>299</v>
      </c>
      <c r="M57" s="16">
        <v>0</v>
      </c>
      <c r="N57" s="37">
        <f>B13</f>
        <v>0</v>
      </c>
      <c r="O57" s="38" t="s">
        <v>122</v>
      </c>
      <c r="Q57" s="79" t="s">
        <v>584</v>
      </c>
      <c r="R57" s="79" t="s">
        <v>585</v>
      </c>
      <c r="S57" s="79" t="s">
        <v>690</v>
      </c>
      <c r="T57" s="79" t="str">
        <f>IF(N32="Standard","null",T31+T38+T36+ROUNDUP(Z34/1000,0))</f>
        <v>null</v>
      </c>
      <c r="U57" s="79" t="s">
        <v>117</v>
      </c>
      <c r="W57" s="39" t="s">
        <v>307</v>
      </c>
      <c r="X57" s="24" t="s">
        <v>308</v>
      </c>
      <c r="Y57" s="24" t="s">
        <v>309</v>
      </c>
      <c r="Z57" s="136">
        <f>N45*N46*IF(OR(N29=8,N29="AD12_GC8"),1,2)</f>
        <v>20358144</v>
      </c>
      <c r="AA57" s="125" t="s">
        <v>201</v>
      </c>
      <c r="AC57" s="137" t="s">
        <v>691</v>
      </c>
      <c r="AD57" s="55" t="s">
        <v>692</v>
      </c>
      <c r="AE57" s="135" t="s">
        <v>693</v>
      </c>
      <c r="AF57" s="30" t="s">
        <v>548</v>
      </c>
      <c r="AG57" s="152" t="str">
        <f>"0x"&amp;IF(N38=0,DEC2HEX(MAX(T31,T32,T34)),DEC2HEX(MAX(T31,T32)))</f>
        <v>0x121C</v>
      </c>
      <c r="AH57" s="151"/>
    </row>
    <row r="58" spans="11:55" s="1" customFormat="1" ht="43.5" hidden="1" customHeight="1">
      <c r="K58" s="20" t="s">
        <v>306</v>
      </c>
      <c r="L58" s="21" t="s">
        <v>293</v>
      </c>
      <c r="M58" s="21">
        <f>VLOOKUP($M$24,$AC$26:$BA$43,22,FALSE)</f>
        <v>0</v>
      </c>
      <c r="N58" s="22">
        <f>B14</f>
        <v>42</v>
      </c>
      <c r="O58" s="62" t="s">
        <v>125</v>
      </c>
      <c r="Q58" s="107" t="s">
        <v>694</v>
      </c>
      <c r="R58" s="108"/>
      <c r="S58" s="109" t="s">
        <v>694</v>
      </c>
      <c r="T58" s="109"/>
      <c r="U58" s="110"/>
      <c r="W58" s="68" t="s">
        <v>314</v>
      </c>
      <c r="X58" s="24" t="s">
        <v>315</v>
      </c>
      <c r="Y58" s="24" t="s">
        <v>316</v>
      </c>
      <c r="Z58" s="138">
        <f>Z57+Z56*N48</f>
        <v>20358144</v>
      </c>
      <c r="AA58" s="125" t="s">
        <v>201</v>
      </c>
      <c r="AC58" s="137" t="s">
        <v>695</v>
      </c>
      <c r="AD58" s="55" t="s">
        <v>696</v>
      </c>
      <c r="AE58" s="135" t="s">
        <v>697</v>
      </c>
      <c r="AF58" s="30" t="s">
        <v>548</v>
      </c>
      <c r="AG58" s="152" t="str">
        <f>"0x"&amp;IF(N31="TriggerWidth",DEC2HEX(MAX(T31,T33)),IF(N39=0,DEC2HEX(MAX(T31,T32,IF(N50=1,0,T33))),DEC2HEX(MAX(T31,T32,IF(N50=1,0,T33),T34))))</f>
        <v>0x121C</v>
      </c>
      <c r="AH58" s="151"/>
    </row>
    <row r="59" spans="11:55" s="1" customFormat="1" ht="60" hidden="1" customHeight="1">
      <c r="K59" s="1288" t="s">
        <v>698</v>
      </c>
      <c r="L59" s="1289"/>
      <c r="M59" s="1289"/>
      <c r="N59" s="1289"/>
      <c r="O59" s="1290"/>
      <c r="Q59" s="76" t="s">
        <v>587</v>
      </c>
      <c r="R59" s="76" t="s">
        <v>588</v>
      </c>
      <c r="S59" s="76" t="s">
        <v>699</v>
      </c>
      <c r="T59" s="76">
        <f>IF(N33&gt;Z35,T36+IF(N50=1,0,T38)+Z33,T31+T36+IF(N50=1,0,T38)+2)</f>
        <v>3593</v>
      </c>
      <c r="U59" s="76" t="s">
        <v>140</v>
      </c>
      <c r="W59" s="68" t="s">
        <v>322</v>
      </c>
      <c r="X59" s="24" t="s">
        <v>323</v>
      </c>
      <c r="Y59" s="30" t="s">
        <v>324</v>
      </c>
      <c r="Z59" s="139">
        <f>INT(Z58/(N53-Z49))</f>
        <v>2504</v>
      </c>
      <c r="AA59" s="125" t="s">
        <v>421</v>
      </c>
      <c r="AC59" s="137" t="s">
        <v>700</v>
      </c>
      <c r="AD59" s="55" t="s">
        <v>701</v>
      </c>
      <c r="AE59" s="135" t="s">
        <v>702</v>
      </c>
      <c r="AF59" s="24" t="s">
        <v>548</v>
      </c>
      <c r="AG59" s="150" t="str">
        <f>"0x"&amp;IF((N38=1)*(N31="TriggerWidth"),1,0)</f>
        <v>0x0</v>
      </c>
      <c r="AH59" s="151"/>
    </row>
    <row r="60" spans="11:55" s="1" customFormat="1" ht="126.75" hidden="1" customHeight="1">
      <c r="K60" s="15" t="s">
        <v>321</v>
      </c>
      <c r="L60" s="16" t="s">
        <v>320</v>
      </c>
      <c r="M60" s="16">
        <v>1</v>
      </c>
      <c r="N60" s="37">
        <f>B8</f>
        <v>1</v>
      </c>
      <c r="O60" s="38" t="s">
        <v>122</v>
      </c>
      <c r="Q60" s="1293" t="s">
        <v>733</v>
      </c>
      <c r="R60" s="1293"/>
      <c r="S60" s="1293"/>
      <c r="T60" s="1293"/>
      <c r="U60" s="1293"/>
      <c r="W60" s="68" t="s">
        <v>330</v>
      </c>
      <c r="X60" s="24" t="s">
        <v>331</v>
      </c>
      <c r="Y60" s="30" t="s">
        <v>332</v>
      </c>
      <c r="Z60" s="139">
        <f>Z58-(N53-Z49)*Z59</f>
        <v>5632</v>
      </c>
      <c r="AA60" s="125" t="s">
        <v>201</v>
      </c>
      <c r="AC60" s="137" t="s">
        <v>325</v>
      </c>
      <c r="AD60" s="24" t="s">
        <v>703</v>
      </c>
      <c r="AE60" s="24" t="s">
        <v>704</v>
      </c>
      <c r="AF60" s="24" t="s">
        <v>705</v>
      </c>
      <c r="AG60" s="152" t="str">
        <f>"0x"&amp;DEC2HEX(Z31/37.5*VLOOKUP($M$24,$AC$26:$AW$43,4,FALSE)-(VLOOKUP($M$24,$AC$26:$AW$43,9,FALSE)/VLOOKUP($M$24,$AC$26:$AW$43,5,FALSE)/VLOOKUP($M$24,$AC$26:$AW$43,6,FALSE)))</f>
        <v>0x2B2</v>
      </c>
      <c r="AH60" s="153"/>
    </row>
    <row r="61" spans="11:55" s="1" customFormat="1" ht="30" hidden="1" customHeight="1">
      <c r="K61" s="20" t="s">
        <v>329</v>
      </c>
      <c r="L61" s="21" t="s">
        <v>328</v>
      </c>
      <c r="M61" s="21">
        <v>1</v>
      </c>
      <c r="N61" s="22">
        <f>B9</f>
        <v>1</v>
      </c>
      <c r="O61" s="62" t="s">
        <v>122</v>
      </c>
      <c r="Q61" s="79" t="s">
        <v>734</v>
      </c>
      <c r="R61" s="79" t="s">
        <v>735</v>
      </c>
      <c r="S61" s="79" t="s">
        <v>122</v>
      </c>
      <c r="T61" s="79">
        <v>8</v>
      </c>
      <c r="U61" s="79" t="s">
        <v>736</v>
      </c>
      <c r="W61" s="68" t="s">
        <v>339</v>
      </c>
      <c r="X61" s="24" t="s">
        <v>340</v>
      </c>
      <c r="Y61" s="30" t="s">
        <v>341</v>
      </c>
      <c r="Z61" s="130">
        <f>IF(MOD(Z57,(N53-Z49))=0,0,1)</f>
        <v>1</v>
      </c>
      <c r="AA61" s="125" t="s">
        <v>421</v>
      </c>
      <c r="AC61" s="137" t="s">
        <v>317</v>
      </c>
      <c r="AD61" s="24" t="str">
        <f>IF(OR(M27="A7",M27="KU3P"),"0x01100000","0x77601500")</f>
        <v>0x77601500</v>
      </c>
      <c r="AE61" s="135" t="s">
        <v>318</v>
      </c>
      <c r="AF61" s="24" t="s">
        <v>122</v>
      </c>
      <c r="AG61" s="150" t="s">
        <v>319</v>
      </c>
      <c r="AH61" s="154"/>
    </row>
    <row r="62" spans="11:55" s="1" customFormat="1" ht="119.25" hidden="1" customHeight="1">
      <c r="K62" s="1288" t="s">
        <v>737</v>
      </c>
      <c r="L62" s="1289"/>
      <c r="M62" s="1289"/>
      <c r="N62" s="1289"/>
      <c r="O62" s="1290"/>
      <c r="Q62" s="113" t="s">
        <v>738</v>
      </c>
      <c r="R62" s="113" t="s">
        <v>739</v>
      </c>
      <c r="S62" s="113" t="s">
        <v>122</v>
      </c>
      <c r="T62" s="113">
        <f>POWER(2,ROUNDUP(LOG((2*VLOOKUP($M$24,$AC$26:$BD$45,11,FALSE)*VLOOKUP($M$24,$AC$26:$BD$45,12,FALSE)+Z55+Z56),2),0))</f>
        <v>67108864</v>
      </c>
      <c r="U62" s="113" t="s">
        <v>394</v>
      </c>
      <c r="W62" s="68" t="s">
        <v>349</v>
      </c>
      <c r="X62" s="24" t="s">
        <v>350</v>
      </c>
      <c r="Y62" s="30" t="s">
        <v>351</v>
      </c>
      <c r="Z62" s="139">
        <f>IF(Z60&lt;Z51,Z51,Z60)</f>
        <v>5632</v>
      </c>
      <c r="AA62" s="125" t="s">
        <v>201</v>
      </c>
      <c r="AC62" s="140" t="s">
        <v>333</v>
      </c>
      <c r="AD62" s="28" t="s">
        <v>335</v>
      </c>
      <c r="AE62" s="28" t="s">
        <v>334</v>
      </c>
      <c r="AF62" s="28" t="s">
        <v>336</v>
      </c>
      <c r="AG62" s="155" t="str">
        <f>"0x"&amp;DEC2HEX(N53-Z49)</f>
        <v>0x1FC0</v>
      </c>
      <c r="AH62" s="156" t="s">
        <v>337</v>
      </c>
    </row>
    <row r="63" spans="11:55" s="1" customFormat="1" ht="55.5" hidden="1" customHeight="1">
      <c r="K63" s="15" t="s">
        <v>348</v>
      </c>
      <c r="L63" s="16" t="s">
        <v>347</v>
      </c>
      <c r="M63" s="16">
        <v>1</v>
      </c>
      <c r="N63" s="37">
        <f>B6</f>
        <v>1</v>
      </c>
      <c r="O63" s="38" t="s">
        <v>122</v>
      </c>
      <c r="Q63" s="76" t="s">
        <v>740</v>
      </c>
      <c r="R63" s="76" t="s">
        <v>741</v>
      </c>
      <c r="S63" s="76" t="s">
        <v>122</v>
      </c>
      <c r="T63" s="76">
        <f>8*1024*1024*1024/(8*T62)-1</f>
        <v>15</v>
      </c>
      <c r="U63" s="76" t="s">
        <v>122</v>
      </c>
      <c r="W63" s="68" t="s">
        <v>358</v>
      </c>
      <c r="X63" s="24" t="s">
        <v>359</v>
      </c>
      <c r="Y63" s="30" t="s">
        <v>360</v>
      </c>
      <c r="Z63" s="139">
        <f>Z50+Z49+Z54</f>
        <v>98</v>
      </c>
      <c r="AA63" s="125" t="s">
        <v>201</v>
      </c>
      <c r="AC63" s="137" t="s">
        <v>342</v>
      </c>
      <c r="AD63" s="24" t="s">
        <v>344</v>
      </c>
      <c r="AE63" s="24" t="s">
        <v>343</v>
      </c>
      <c r="AF63" s="24" t="s">
        <v>345</v>
      </c>
      <c r="AG63" s="24" t="str">
        <f>"0x"&amp;DEC2HEX(T47)</f>
        <v>0x0</v>
      </c>
      <c r="AH63" s="1294" t="s">
        <v>346</v>
      </c>
    </row>
    <row r="64" spans="11:55" s="1" customFormat="1" ht="86.25" hidden="1" customHeight="1">
      <c r="K64" s="20" t="s">
        <v>357</v>
      </c>
      <c r="L64" s="21" t="s">
        <v>356</v>
      </c>
      <c r="M64" s="21">
        <v>1</v>
      </c>
      <c r="N64" s="22">
        <f>B7</f>
        <v>1</v>
      </c>
      <c r="O64" s="62" t="s">
        <v>122</v>
      </c>
      <c r="Q64" s="1" t="s">
        <v>414</v>
      </c>
      <c r="R64" s="1">
        <f>M45*8*IF(N29=8,1,2)/T27/(IF(N60=2,2,1))</f>
        <v>12.822735346358792</v>
      </c>
      <c r="W64" s="68" t="s">
        <v>366</v>
      </c>
      <c r="X64" s="24" t="s">
        <v>367</v>
      </c>
      <c r="Y64" s="30" t="s">
        <v>368</v>
      </c>
      <c r="Z64" s="139">
        <f>Z50+Z49+Z55</f>
        <v>72</v>
      </c>
      <c r="AA64" s="125" t="s">
        <v>201</v>
      </c>
      <c r="AC64" s="141" t="s">
        <v>352</v>
      </c>
      <c r="AD64" s="26" t="s">
        <v>354</v>
      </c>
      <c r="AE64" s="26" t="s">
        <v>353</v>
      </c>
      <c r="AF64" s="26" t="s">
        <v>355</v>
      </c>
      <c r="AG64" s="26" t="str">
        <f>"0x"&amp;DEC2HEX(T46)</f>
        <v>0x0</v>
      </c>
      <c r="AH64" s="1295"/>
    </row>
    <row r="65" spans="11:34" s="1" customFormat="1" ht="52.5" hidden="1" customHeight="1">
      <c r="K65" s="1288" t="s">
        <v>706</v>
      </c>
      <c r="L65" s="1289"/>
      <c r="M65" s="1289"/>
      <c r="N65" s="1289"/>
      <c r="O65" s="1290"/>
      <c r="Q65" s="1" t="s">
        <v>707</v>
      </c>
      <c r="R65" s="1">
        <f>T43*8/1000/1000/1000</f>
        <v>6.2874078387801235</v>
      </c>
      <c r="W65" s="68" t="s">
        <v>374</v>
      </c>
      <c r="X65" s="24" t="s">
        <v>375</v>
      </c>
      <c r="Y65" s="30" t="s">
        <v>376</v>
      </c>
      <c r="Z65" s="139">
        <f>Z59*(N53+Z50)+Z61*(Z62+Z50+Z49)</f>
        <v>20513454</v>
      </c>
      <c r="AA65" s="125" t="s">
        <v>201</v>
      </c>
      <c r="AC65" s="192" t="s">
        <v>708</v>
      </c>
      <c r="AD65" s="193" t="s">
        <v>709</v>
      </c>
      <c r="AE65" s="194" t="s">
        <v>710</v>
      </c>
      <c r="AF65" s="195" t="s">
        <v>711</v>
      </c>
      <c r="AG65" s="197" t="str">
        <f>"0x"&amp;DEC2HEX(T37)</f>
        <v>0x0</v>
      </c>
      <c r="AH65" s="151"/>
    </row>
    <row r="66" spans="11:34" s="1" customFormat="1" ht="66.75" hidden="1" customHeight="1">
      <c r="K66" s="15" t="s">
        <v>348</v>
      </c>
      <c r="L66" s="16" t="s">
        <v>347</v>
      </c>
      <c r="M66" s="16">
        <v>1</v>
      </c>
      <c r="N66" s="37">
        <v>1</v>
      </c>
      <c r="O66" s="38" t="s">
        <v>122</v>
      </c>
      <c r="Q66" s="128" t="s">
        <v>415</v>
      </c>
      <c r="R66" s="128">
        <f>S66-R65</f>
        <v>12.656592161219876</v>
      </c>
      <c r="S66" s="1">
        <f>25.6*0.74</f>
        <v>18.943999999999999</v>
      </c>
      <c r="W66" s="39" t="s">
        <v>377</v>
      </c>
      <c r="X66" s="24" t="s">
        <v>378</v>
      </c>
      <c r="Y66" s="24" t="s">
        <v>379</v>
      </c>
      <c r="Z66" s="196">
        <f>(2+Z61+Z59)*Z71</f>
        <v>50140</v>
      </c>
      <c r="AA66" s="88" t="s">
        <v>201</v>
      </c>
    </row>
    <row r="67" spans="11:34" s="1" customFormat="1" ht="45" hidden="1" customHeight="1">
      <c r="K67" s="20" t="s">
        <v>357</v>
      </c>
      <c r="L67" s="21" t="s">
        <v>356</v>
      </c>
      <c r="M67" s="21">
        <v>1</v>
      </c>
      <c r="N67" s="22">
        <v>1</v>
      </c>
      <c r="O67" s="62" t="s">
        <v>122</v>
      </c>
      <c r="Q67" s="128" t="s">
        <v>417</v>
      </c>
      <c r="R67" s="129">
        <f>R66-R64</f>
        <v>-0.16614318513891568</v>
      </c>
      <c r="S67" s="128" t="s">
        <v>418</v>
      </c>
      <c r="W67" s="39" t="s">
        <v>380</v>
      </c>
      <c r="X67" s="24" t="s">
        <v>381</v>
      </c>
      <c r="Y67" s="24" t="s">
        <v>382</v>
      </c>
      <c r="Z67" s="136">
        <f>Z63+Z64+Z65+Z66</f>
        <v>20563764</v>
      </c>
      <c r="AA67" s="88" t="s">
        <v>201</v>
      </c>
      <c r="AE67" s="146"/>
    </row>
    <row r="68" spans="11:34" s="1" customFormat="1" ht="45" hidden="1" customHeight="1">
      <c r="K68" s="1296" t="s">
        <v>365</v>
      </c>
      <c r="L68" s="1297"/>
      <c r="M68" s="1297"/>
      <c r="N68" s="1297"/>
      <c r="O68" s="1298"/>
      <c r="Q68" s="128" t="s">
        <v>419</v>
      </c>
      <c r="R68" s="128">
        <f>R64-R65</f>
        <v>6.5353275075786685</v>
      </c>
      <c r="S68" s="128" t="s">
        <v>420</v>
      </c>
      <c r="W68" s="39" t="s">
        <v>383</v>
      </c>
      <c r="X68" s="24" t="s">
        <v>384</v>
      </c>
      <c r="Y68" s="24" t="s">
        <v>385</v>
      </c>
      <c r="Z68" s="69">
        <f>INT(1000000*N52*(100-N55)/80)</f>
        <v>12250000000</v>
      </c>
      <c r="AA68" s="88" t="s">
        <v>386</v>
      </c>
      <c r="AE68" s="146"/>
    </row>
    <row r="69" spans="11:34" s="1" customFormat="1" ht="45" hidden="1" customHeight="1">
      <c r="K69" s="184" t="s">
        <v>58</v>
      </c>
      <c r="L69" s="185" t="s">
        <v>373</v>
      </c>
      <c r="M69" s="185"/>
      <c r="N69" s="186">
        <f>T29</f>
        <v>38.312708325351522</v>
      </c>
      <c r="O69" s="187"/>
      <c r="Q69" s="128"/>
      <c r="R69" s="128"/>
      <c r="S69" s="128"/>
      <c r="W69" s="42" t="s">
        <v>387</v>
      </c>
      <c r="X69" s="28" t="s">
        <v>388</v>
      </c>
      <c r="Y69" s="28" t="s">
        <v>389</v>
      </c>
      <c r="Z69" s="82">
        <f>ROUNDUP(Z67*1000000/Z68,0)*10</f>
        <v>16790</v>
      </c>
      <c r="AA69" s="23" t="s">
        <v>117</v>
      </c>
      <c r="AE69" s="146"/>
    </row>
    <row r="70" spans="11:34" s="1" customFormat="1" ht="60" hidden="1" customHeight="1">
      <c r="Q70" s="128"/>
      <c r="R70" s="128"/>
      <c r="S70" s="128"/>
      <c r="W70" s="1288" t="s">
        <v>390</v>
      </c>
      <c r="X70" s="1289"/>
      <c r="Y70" s="1289"/>
      <c r="Z70" s="1289"/>
      <c r="AA70" s="1290"/>
    </row>
    <row r="71" spans="11:34" s="1" customFormat="1" ht="78" hidden="1" customHeight="1">
      <c r="W71" s="86" t="s">
        <v>391</v>
      </c>
      <c r="X71" s="190" t="s">
        <v>392</v>
      </c>
      <c r="Y71" s="24" t="s">
        <v>393</v>
      </c>
      <c r="Z71" s="69">
        <f>MAX(ROUNDUP(N54*N52/1000/8,0),Z48+8)</f>
        <v>20</v>
      </c>
      <c r="AA71" s="88" t="s">
        <v>394</v>
      </c>
    </row>
    <row r="72" spans="11:34" s="1" customFormat="1" ht="71.25" hidden="1" customHeight="1">
      <c r="W72" s="94" t="s">
        <v>395</v>
      </c>
      <c r="X72" s="95" t="s">
        <v>396</v>
      </c>
      <c r="Y72" s="26" t="s">
        <v>397</v>
      </c>
      <c r="Z72" s="96">
        <f>ROUNDDOWN((Z68-(Z65+Z64+Z63))/(Z59+Z61+2),0)</f>
        <v>4878135</v>
      </c>
      <c r="AA72" s="97" t="s">
        <v>394</v>
      </c>
    </row>
    <row r="73" spans="11:34" s="1" customFormat="1" ht="30" hidden="1" customHeight="1"/>
    <row r="74" spans="11:34" s="1" customFormat="1" ht="45" customHeight="1"/>
    <row r="75" spans="11:34" s="1" customFormat="1" ht="30" customHeight="1"/>
    <row r="76" spans="11:34" s="1" customFormat="1" ht="45" customHeight="1"/>
    <row r="77" spans="11:34" s="1" customFormat="1" ht="60" customHeight="1"/>
    <row r="78" spans="11:34" s="1" customFormat="1" ht="30" customHeight="1"/>
    <row r="79" spans="11:34" s="1" customFormat="1" ht="30" customHeight="1"/>
    <row r="80" spans="11:34" s="1" customFormat="1" ht="30" customHeight="1"/>
    <row r="81" s="1" customFormat="1" ht="30" customHeight="1"/>
    <row r="82" s="1" customFormat="1" ht="30" customHeight="1"/>
    <row r="83" s="1" customFormat="1" ht="30" customHeight="1"/>
    <row r="84" s="1" customFormat="1" ht="30" hidden="1" customHeight="1"/>
    <row r="85" s="1" customFormat="1" ht="30" hidden="1" customHeight="1"/>
    <row r="86" s="1" customFormat="1" ht="30" hidden="1" customHeight="1"/>
    <row r="87" s="1" customFormat="1" ht="30" hidden="1" customHeight="1"/>
    <row r="88" s="1" customFormat="1" ht="30" hidden="1" customHeight="1"/>
    <row r="89" s="1" customFormat="1" ht="30" hidden="1" customHeight="1"/>
    <row r="90" s="1" customFormat="1" ht="30" hidden="1" customHeight="1"/>
    <row r="91" s="1" customFormat="1" ht="30" customHeight="1"/>
    <row r="92" s="1" customFormat="1" ht="30" customHeight="1"/>
    <row r="93" s="1" customFormat="1" ht="30" customHeight="1"/>
    <row r="94" s="1" customFormat="1" ht="30" customHeight="1"/>
    <row r="95" s="1" customFormat="1" ht="30" customHeight="1"/>
    <row r="96" s="1" customFormat="1" ht="30" customHeight="1"/>
    <row r="97" spans="11:19" s="1" customFormat="1" ht="30" customHeight="1"/>
    <row r="98" spans="11:19" s="1" customFormat="1" ht="30" customHeight="1"/>
    <row r="99" spans="11:19" s="1" customFormat="1" ht="30" customHeight="1"/>
    <row r="100" spans="11:19" s="1" customFormat="1" ht="30" customHeight="1"/>
    <row r="101" spans="11:19" s="1" customFormat="1" ht="30" customHeight="1">
      <c r="Q101" s="189"/>
      <c r="R101" s="1292"/>
      <c r="S101" s="1292"/>
    </row>
    <row r="102" spans="11:19" s="1" customFormat="1" ht="30" customHeight="1">
      <c r="Q102" s="189"/>
      <c r="R102" s="189"/>
      <c r="S102" s="189"/>
    </row>
    <row r="103" spans="11:19" s="1" customFormat="1" ht="30" customHeight="1">
      <c r="Q103" s="189"/>
      <c r="R103" s="189"/>
      <c r="S103" s="189"/>
    </row>
    <row r="104" spans="11:19" s="1" customFormat="1" ht="30" customHeight="1">
      <c r="Q104" s="189"/>
      <c r="R104" s="189"/>
      <c r="S104" s="189"/>
    </row>
    <row r="105" spans="11:19" s="1" customFormat="1" ht="30" customHeight="1">
      <c r="P105" s="188"/>
      <c r="Q105" s="189"/>
      <c r="R105" s="189"/>
      <c r="S105" s="189"/>
    </row>
    <row r="106" spans="11:19" s="1" customFormat="1" ht="30" customHeight="1">
      <c r="P106" s="189"/>
      <c r="Q106" s="189"/>
      <c r="R106" s="1292"/>
      <c r="S106" s="1292"/>
    </row>
    <row r="107" spans="11:19" s="1" customFormat="1" ht="30" customHeight="1">
      <c r="P107" s="189"/>
      <c r="Q107" s="189"/>
      <c r="R107" s="189"/>
      <c r="S107" s="189"/>
    </row>
    <row r="108" spans="11:19" s="1" customFormat="1" ht="30" customHeight="1">
      <c r="P108" s="189"/>
      <c r="Q108" s="189"/>
      <c r="R108" s="189"/>
      <c r="S108" s="189"/>
    </row>
    <row r="109" spans="11:19" s="1" customFormat="1" ht="30" customHeight="1">
      <c r="K109" s="189"/>
      <c r="L109" s="189"/>
      <c r="M109" s="189"/>
      <c r="N109" s="189"/>
      <c r="P109" s="189"/>
      <c r="Q109" s="189"/>
      <c r="R109" s="189"/>
      <c r="S109" s="189"/>
    </row>
    <row r="110" spans="11:19" s="1" customFormat="1" ht="30" customHeight="1">
      <c r="K110" s="189"/>
      <c r="L110" s="189"/>
      <c r="M110" s="189"/>
      <c r="N110" s="189"/>
      <c r="P110" s="189"/>
      <c r="Q110" s="189"/>
      <c r="R110" s="189"/>
      <c r="S110" s="189"/>
    </row>
    <row r="111" spans="11:19" s="1" customFormat="1" ht="30" customHeight="1">
      <c r="K111" s="189"/>
      <c r="L111" s="189"/>
      <c r="M111" s="189"/>
      <c r="N111" s="189"/>
      <c r="P111" s="189"/>
      <c r="Q111" s="189"/>
      <c r="R111" s="1292"/>
      <c r="S111" s="1292"/>
    </row>
    <row r="112" spans="11:19" s="1" customFormat="1" ht="30" customHeight="1">
      <c r="K112" s="189"/>
      <c r="L112" s="189"/>
      <c r="M112" s="189"/>
      <c r="N112" s="189"/>
      <c r="O112" s="188"/>
      <c r="P112" s="189"/>
      <c r="Q112" s="189"/>
      <c r="R112" s="189"/>
      <c r="S112" s="189"/>
    </row>
    <row r="113" spans="11:19" s="1" customFormat="1" ht="30" customHeight="1">
      <c r="K113" s="189"/>
      <c r="L113" s="189"/>
      <c r="M113" s="189"/>
      <c r="N113" s="189"/>
      <c r="O113" s="189"/>
      <c r="P113" s="189"/>
      <c r="Q113" s="189"/>
      <c r="R113" s="189"/>
      <c r="S113" s="189"/>
    </row>
    <row r="114" spans="11:19" s="1" customFormat="1" ht="30" customHeight="1">
      <c r="K114" s="189"/>
      <c r="L114" s="189"/>
      <c r="M114" s="189"/>
      <c r="N114" s="189"/>
      <c r="O114" s="189"/>
      <c r="P114" s="189"/>
      <c r="Q114" s="189"/>
      <c r="R114" s="189"/>
      <c r="S114" s="189"/>
    </row>
    <row r="115" spans="11:19" s="1" customFormat="1" ht="30" customHeight="1">
      <c r="K115" s="189"/>
      <c r="L115" s="189"/>
      <c r="M115" s="189"/>
      <c r="N115" s="189"/>
      <c r="O115" s="189"/>
      <c r="P115" s="189"/>
      <c r="Q115" s="189"/>
      <c r="R115" s="189"/>
      <c r="S115" s="189"/>
    </row>
    <row r="116" spans="11:19" s="1" customFormat="1" ht="30" customHeight="1">
      <c r="K116" s="188"/>
      <c r="L116" s="188"/>
      <c r="M116" s="189"/>
      <c r="N116" s="189"/>
      <c r="O116" s="189"/>
      <c r="P116" s="189"/>
      <c r="Q116" s="189"/>
      <c r="R116" s="189"/>
      <c r="S116" s="189"/>
    </row>
    <row r="117" spans="11:19" s="1" customFormat="1" ht="30" customHeight="1">
      <c r="K117" s="189"/>
      <c r="L117" s="188"/>
      <c r="M117" s="189"/>
      <c r="N117" s="189"/>
      <c r="O117" s="189"/>
      <c r="P117" s="189"/>
      <c r="Q117" s="189"/>
      <c r="R117" s="189"/>
      <c r="S117" s="189"/>
    </row>
    <row r="118" spans="11:19" s="1" customFormat="1" ht="30" customHeight="1">
      <c r="K118" s="189"/>
      <c r="L118" s="188"/>
      <c r="M118" s="189"/>
      <c r="N118" s="189"/>
      <c r="O118" s="189"/>
      <c r="P118" s="189"/>
      <c r="Q118" s="189"/>
      <c r="R118" s="189"/>
      <c r="S118" s="189"/>
    </row>
    <row r="119" spans="11:19" s="1" customFormat="1" ht="30" customHeight="1">
      <c r="K119" s="189"/>
      <c r="L119" s="189"/>
      <c r="M119" s="189"/>
      <c r="N119" s="189"/>
      <c r="O119" s="189"/>
      <c r="P119" s="189"/>
      <c r="Q119" s="189"/>
      <c r="R119" s="189"/>
      <c r="S119" s="189"/>
    </row>
    <row r="120" spans="11:19" s="1" customFormat="1" ht="30" customHeight="1">
      <c r="K120" s="189"/>
      <c r="L120" s="189"/>
      <c r="M120" s="189"/>
      <c r="N120" s="189"/>
      <c r="O120" s="189"/>
      <c r="P120" s="189"/>
      <c r="Q120" s="189"/>
      <c r="R120" s="189"/>
      <c r="S120" s="189"/>
    </row>
    <row r="121" spans="11:19" s="1" customFormat="1" ht="30" customHeight="1">
      <c r="K121" s="189"/>
      <c r="L121" s="189"/>
      <c r="M121" s="189"/>
      <c r="N121" s="189"/>
      <c r="O121" s="189"/>
      <c r="P121" s="189"/>
      <c r="Q121" s="189"/>
      <c r="R121" s="189"/>
      <c r="S121" s="189"/>
    </row>
    <row r="122" spans="11:19" s="1" customFormat="1" ht="30" customHeight="1">
      <c r="K122" s="189"/>
      <c r="L122" s="189"/>
      <c r="M122" s="189"/>
      <c r="N122" s="189"/>
      <c r="O122" s="189"/>
      <c r="P122" s="189"/>
      <c r="Q122" s="189"/>
      <c r="R122" s="189"/>
      <c r="S122" s="189"/>
    </row>
    <row r="123" spans="11:19" s="1" customFormat="1" ht="30" customHeight="1">
      <c r="K123" s="189"/>
      <c r="L123" s="189"/>
      <c r="M123" s="189"/>
      <c r="N123" s="189"/>
      <c r="O123" s="189"/>
      <c r="P123" s="189"/>
      <c r="Q123" s="189"/>
      <c r="R123" s="189"/>
      <c r="S123" s="189"/>
    </row>
    <row r="124" spans="11:19" s="1" customFormat="1" ht="30" customHeight="1">
      <c r="K124" s="189"/>
      <c r="L124" s="189"/>
      <c r="M124" s="189"/>
      <c r="N124" s="189"/>
      <c r="O124" s="189"/>
      <c r="P124" s="189"/>
      <c r="Q124" s="189"/>
      <c r="R124" s="189"/>
      <c r="S124" s="189"/>
    </row>
    <row r="125" spans="11:19" s="1" customFormat="1" ht="30" customHeight="1">
      <c r="K125" s="189"/>
      <c r="L125" s="189"/>
      <c r="M125" s="189"/>
      <c r="N125" s="189"/>
      <c r="O125" s="189"/>
      <c r="P125" s="189"/>
      <c r="Q125" s="189"/>
      <c r="R125" s="189"/>
      <c r="S125" s="189"/>
    </row>
    <row r="126" spans="11:19" s="1" customFormat="1" ht="30" customHeight="1">
      <c r="K126" s="189"/>
      <c r="L126" s="189"/>
      <c r="M126" s="189"/>
      <c r="N126" s="189"/>
      <c r="O126" s="189"/>
      <c r="P126" s="189"/>
      <c r="Q126" s="191"/>
      <c r="R126" s="191"/>
      <c r="S126" s="191"/>
    </row>
    <row r="127" spans="11:19" s="1" customFormat="1" ht="30" customHeight="1">
      <c r="K127" s="189"/>
      <c r="L127" s="189"/>
      <c r="M127" s="189"/>
      <c r="N127" s="189"/>
      <c r="O127" s="189"/>
      <c r="P127" s="189"/>
    </row>
    <row r="128" spans="11:19" s="1" customFormat="1" ht="30" customHeight="1">
      <c r="K128" s="189"/>
      <c r="L128" s="189"/>
      <c r="M128" s="189"/>
      <c r="N128" s="189"/>
      <c r="O128" s="189"/>
      <c r="P128" s="189"/>
    </row>
    <row r="129" spans="11:16" s="1" customFormat="1" ht="30" customHeight="1">
      <c r="K129" s="189"/>
      <c r="L129" s="189"/>
      <c r="M129" s="189"/>
      <c r="N129" s="189"/>
      <c r="O129" s="189"/>
      <c r="P129" s="189"/>
    </row>
    <row r="130" spans="11:16" s="1" customFormat="1" ht="30" customHeight="1">
      <c r="K130" s="189"/>
      <c r="L130" s="189"/>
      <c r="M130" s="189"/>
      <c r="N130" s="189"/>
      <c r="O130" s="189"/>
      <c r="P130" s="191"/>
    </row>
    <row r="131" spans="11:16" s="1" customFormat="1" ht="30" customHeight="1">
      <c r="K131" s="189"/>
      <c r="L131" s="189"/>
      <c r="M131" s="189"/>
      <c r="N131" s="189"/>
      <c r="O131" s="189"/>
    </row>
    <row r="132" spans="11:16" s="1" customFormat="1" ht="30" customHeight="1">
      <c r="K132" s="189"/>
      <c r="L132" s="189"/>
      <c r="M132" s="189"/>
      <c r="N132" s="189"/>
      <c r="O132" s="189"/>
    </row>
    <row r="133" spans="11:16" s="1" customFormat="1" ht="30" customHeight="1">
      <c r="K133" s="189"/>
      <c r="L133" s="189"/>
      <c r="M133" s="189"/>
      <c r="N133" s="189"/>
      <c r="O133" s="189"/>
    </row>
    <row r="134" spans="11:16" s="1" customFormat="1" ht="30" customHeight="1">
      <c r="K134" s="191"/>
      <c r="L134" s="191"/>
      <c r="M134" s="191"/>
      <c r="N134" s="191"/>
      <c r="O134" s="189"/>
    </row>
    <row r="135" spans="11:16" s="1" customFormat="1" ht="30" customHeight="1">
      <c r="O135" s="189"/>
    </row>
    <row r="136" spans="11:16" s="1" customFormat="1" ht="30" customHeight="1">
      <c r="O136" s="189"/>
    </row>
    <row r="137" spans="11:16" s="1" customFormat="1" ht="30" customHeight="1">
      <c r="O137" s="191"/>
    </row>
  </sheetData>
  <sheetProtection algorithmName="SHA-512" hashValue="MUH0j6vMsF+oNZHzRsYEYHaFoWcNvpXmaWAk9B2LzBjqTe5UBdCPMwRUO46M8oscR8hWEl9crAxl6UQ7lEB5mA==" saltValue="I/Y8BKs8vK+07idV5UFeVw==" spinCount="100000" sheet="1" objects="1"/>
  <mergeCells count="31">
    <mergeCell ref="AH63:AH64"/>
    <mergeCell ref="K68:O68"/>
    <mergeCell ref="W70:AA70"/>
    <mergeCell ref="R101:S101"/>
    <mergeCell ref="R106:S106"/>
    <mergeCell ref="R111:S111"/>
    <mergeCell ref="K56:O56"/>
    <mergeCell ref="K59:O59"/>
    <mergeCell ref="Q60:U60"/>
    <mergeCell ref="K62:O62"/>
    <mergeCell ref="K65:O65"/>
    <mergeCell ref="K47:O47"/>
    <mergeCell ref="K49:O49"/>
    <mergeCell ref="AC49:AH49"/>
    <mergeCell ref="K51:O51"/>
    <mergeCell ref="W52:AA52"/>
    <mergeCell ref="K37:O37"/>
    <mergeCell ref="W39:AA39"/>
    <mergeCell ref="K40:O40"/>
    <mergeCell ref="Q41:U41"/>
    <mergeCell ref="K42:N42"/>
    <mergeCell ref="K26:O26"/>
    <mergeCell ref="K28:O28"/>
    <mergeCell ref="K30:O30"/>
    <mergeCell ref="Q30:U30"/>
    <mergeCell ref="Q35:U35"/>
    <mergeCell ref="Q24:U24"/>
    <mergeCell ref="W24:AA24"/>
    <mergeCell ref="AC24:BC24"/>
    <mergeCell ref="Q25:U25"/>
    <mergeCell ref="W25:AA25"/>
  </mergeCells>
  <phoneticPr fontId="36" type="noConversion"/>
  <dataValidations count="38">
    <dataValidation type="whole" allowBlank="1" showInputMessage="1" showErrorMessage="1" errorTitle="设置值超出范围" error="预留带宽设置值超出范围" sqref="N55">
      <formula1>0</formula1>
      <formula2>T51</formula2>
    </dataValidation>
    <dataValidation type="custom" allowBlank="1" showInputMessage="1" showErrorMessage="1" error="输入参数值为1或者2" sqref="B9">
      <formula1>OR((B9=1),(B9=2))</formula1>
    </dataValidation>
    <dataValidation type="whole" allowBlank="1" showInputMessage="1" showErrorMessage="1" errorTitle="设置值超出范围" error="包间隔设置值超出范围" sqref="N54">
      <formula1>0</formula1>
      <formula2>T49</formula2>
    </dataValidation>
    <dataValidation type="custom" allowBlank="1" showInputMessage="1" showErrorMessage="1" sqref="N53">
      <formula1>AND(MOD(N53,4)=0,N53&gt;=512,N53&lt;=16384)</formula1>
    </dataValidation>
    <dataValidation type="custom" allowBlank="1" showInputMessage="1" showErrorMessage="1" errorTitle="输入数值非法" error="输入范围是8~图像高度最大值，步长为8" sqref="B5">
      <formula1>AND((B5&lt;=B3),(B5&gt;=2),(MOD(B5,8)=0))</formula1>
    </dataValidation>
    <dataValidation type="whole" allowBlank="1" showInputMessage="1" showErrorMessage="1" error="设置值范围为0~包间隔最大值" sqref="B17">
      <formula1>0</formula1>
      <formula2>B18</formula2>
    </dataValidation>
    <dataValidation allowBlank="1" showInputMessage="1" showErrorMessage="1" error="输入范围是64~1024，步长为2" sqref="A1:B1"/>
    <dataValidation type="custom" allowBlank="1" showInputMessage="1" showErrorMessage="1" errorTitle="输入数值非法" error="输入范围是16~图像宽度最大值，步长为16" sqref="B4">
      <formula1>AND((B4&lt;=B2),(B4&gt;=16),(MOD(B4,16)=0))</formula1>
    </dataValidation>
    <dataValidation type="custom" allowBlank="1" showInputMessage="1" showErrorMessage="1" error="输入参数值为1或者2，并且当水平像素抽样不为1时不能输入" sqref="B6 B7">
      <formula1>AND(OR((B6=1),(B6=2)),B8=1)</formula1>
    </dataValidation>
    <dataValidation type="list" allowBlank="1" showInputMessage="1" showErrorMessage="1" sqref="M24">
      <formula1>$AC$26:$AC$40</formula1>
    </dataValidation>
    <dataValidation type="custom" allowBlank="1" showInputMessage="1" showErrorMessage="1" error="输入参数值为1或者2，并且当水平像素抽样不为1时不能输入" sqref="B8">
      <formula1>AND(OR((B8=1),(B8=2)),B6=1)</formula1>
    </dataValidation>
    <dataValidation type="list" allowBlank="1" showInputMessage="1" showErrorMessage="1" errorTitle="超出范围" error="曝光时间的范围是14us-1s" sqref="N32">
      <formula1>"Standard,Ultrashort"</formula1>
    </dataValidation>
    <dataValidation type="whole" allowBlank="1" showInputMessage="1" showErrorMessage="1" errorTitle="超出范围" error="曝光时间的范围是3us-15s" sqref="B10">
      <formula1>3</formula1>
      <formula2>15000000</formula2>
    </dataValidation>
    <dataValidation type="list" allowBlank="1" showInputMessage="1" showErrorMessage="1" error="请输入8,10或者12" sqref="B11">
      <formula1>"AD12_GC8,10,12"</formula1>
    </dataValidation>
    <dataValidation type="whole" allowBlank="1" showInputMessage="1" showErrorMessage="1" error="输入范围是[0,5000]，单位为us" sqref="B20">
      <formula1>0</formula1>
      <formula2>5000</formula2>
    </dataValidation>
    <dataValidation type="whole" allowBlank="1" showInputMessage="1" showErrorMessage="1" error="设置范围为0~预留带宽最大值" sqref="B15">
      <formula1>0</formula1>
      <formula2>B16</formula2>
    </dataValidation>
    <dataValidation type="list" allowBlank="1" showInputMessage="1" showErrorMessage="1" error="像素格式为8，Sensor位深支持BPP8,BPP12_x000a_像素格式为10，Sensor位深支持BPP10_x000a_像素格式为12，Sensor位深支持BPP12" sqref="B12">
      <formula1>"AD12_GC8,BPP10,BPP12"</formula1>
    </dataValidation>
    <dataValidation type="list" allowBlank="1" showInputMessage="1" showErrorMessage="1" errorTitle="超出范围" error="请输入0或者1" sqref="B13 B21">
      <formula1>"0,1"</formula1>
    </dataValidation>
    <dataValidation type="custom" allowBlank="1" showInputMessage="1" showErrorMessage="1" error="设置值范围0.1~10000.0，精确到一位小数" sqref="B14">
      <formula1>AND(TRUNC(B14,1)=B14,(B14&gt;=0.1),(B14&lt;=10000))</formula1>
    </dataValidation>
    <dataValidation type="custom" allowBlank="1" showInputMessage="1" showErrorMessage="1" error="输入范围是512~8192，步长为4" sqref="B19">
      <formula1>AND((B19&lt;=8192),(B19&gt;=512),(MOD(B19,4)=0))</formula1>
    </dataValidation>
    <dataValidation type="list" allowBlank="1" showInputMessage="1" showErrorMessage="1" sqref="M25">
      <formula1>$BA$26:$BA$29</formula1>
    </dataValidation>
    <dataValidation type="list" allowBlank="1" showInputMessage="1" showErrorMessage="1" sqref="N25">
      <formula1>"BPP8,AD12_GC8,BPP10,BPP12"</formula1>
    </dataValidation>
    <dataValidation type="list" allowBlank="1" showInputMessage="1" showErrorMessage="1" sqref="N29">
      <formula1>"8,AD12_GC8,10,12"</formula1>
    </dataValidation>
    <dataValidation type="list" allowBlank="1" showInputMessage="1" showErrorMessage="1" errorTitle="超出范围" error="曝光时间的范围是14us-1s" sqref="N31">
      <formula1>"Timed,TriggerWidth"</formula1>
    </dataValidation>
    <dataValidation type="whole" allowBlank="1" showInputMessage="1" showErrorMessage="1" errorTitle="超出范围" error="曝光延迟的范围是0-5000us" sqref="N34">
      <formula1>0</formula1>
      <formula2>5000</formula2>
    </dataValidation>
    <dataValidation type="whole" allowBlank="1" showInputMessage="1" showErrorMessage="1" errorTitle="输入数值非法" error="最小值2，最大值1000000" sqref="N36">
      <formula1>0</formula1>
      <formula2>1000000</formula2>
    </dataValidation>
    <dataValidation type="whole" allowBlank="1" showInputMessage="1" showErrorMessage="1" errorTitle="超出范围" error="触发延时的范围是0-3000000us" sqref="N41">
      <formula1>0</formula1>
      <formula2>3000000</formula2>
    </dataValidation>
    <dataValidation type="whole" allowBlank="1" showInputMessage="1" showErrorMessage="1" errorTitle="输入数值非法" error="最小值4，最大值D12" sqref="N45">
      <formula1>4</formula1>
      <formula2>M45</formula2>
    </dataValidation>
    <dataValidation type="whole" allowBlank="1" showInputMessage="1" showErrorMessage="1" errorTitle="输入数值非法" error="最小值2，最大值D13" sqref="N46">
      <formula1>2</formula1>
      <formula2>M46</formula2>
    </dataValidation>
    <dataValidation type="list" allowBlank="1" showInputMessage="1" showErrorMessage="1" sqref="N48 N50 N38:N39">
      <formula1>"0,1"</formula1>
    </dataValidation>
    <dataValidation type="list" allowBlank="1" showInputMessage="1" showErrorMessage="1" sqref="N52">
      <formula1>"1000,10000"</formula1>
    </dataValidation>
    <dataValidation type="list" allowBlank="1" showInputMessage="1" showErrorMessage="1" errorTitle="超出范围" error="0:关闭_x000a_1:打开" sqref="N57">
      <formula1>"0,1"</formula1>
    </dataValidation>
    <dataValidation type="decimal" allowBlank="1" showInputMessage="1" showErrorMessage="1" sqref="N58">
      <formula1>0.1</formula1>
      <formula2>10000</formula2>
    </dataValidation>
    <dataValidation type="whole" operator="lessThanOrEqual" allowBlank="1" showInputMessage="1" showErrorMessage="1" error="Binning/Skipping系数最大为2" prompt="设置水平Binning/Skipping时，需要同步修改水平ROI" sqref="N60 N63 N66">
      <formula1>2</formula1>
    </dataValidation>
    <dataValidation type="whole" operator="lessThanOrEqual" allowBlank="1" showInputMessage="1" showErrorMessage="1" error="Binning/Skipping系数最大为2" prompt="设置垂直Binning/Skipping时，需要同步修改垂直ROI" sqref="N61 N64 N67">
      <formula1>2</formula1>
    </dataValidation>
    <dataValidation type="list" allowBlank="1" showInputMessage="1" showErrorMessage="1" sqref="T61">
      <formula1>"1,2,4,8"</formula1>
    </dataValidation>
    <dataValidation allowBlank="1" showErrorMessage="1" promptTitle="参数变化" prompt="该参数会根据当前生效的水平像素Binning、水平像素抽样变化" sqref="B2:B3"/>
    <dataValidation type="whole" operator="lessThanOrEqual" allowBlank="1" showInputMessage="1" showErrorMessage="1" sqref="N43:N44">
      <formula1>M45</formula1>
    </dataValidation>
  </dataValidation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omments xmlns="https://web.wps.cn/et/2018/main" xmlns:s="http://schemas.openxmlformats.org/spreadsheetml/2006/main">
  <commentList sheetStid="10">
    <comment s:ref="AH43" rgbClr="AFC46C"/>
    <comment s:ref="AW43" rgbClr="AFC46C"/>
    <comment s:ref="P48" rgbClr="AFC46C"/>
    <comment s:ref="P51" rgbClr="AFC46C"/>
  </commentList>
</comments>
</file>

<file path=customXml/item2.xml><?xml version="1.0" encoding="utf-8"?>
<ct:contentTypeSchema xmlns:ct="http://schemas.microsoft.com/office/2006/metadata/contentType" xmlns:ma="http://schemas.microsoft.com/office/2006/metadata/properties/metaAttributes" ct:_="" ma:_="" ma:contentTypeName="Document" ma:contentTypeID="0x01010018B1D4FD92196841803EE860CCD88BE3" ma:contentTypeVersion="19" ma:contentTypeDescription="Create a new document." ma:contentTypeScope="" ma:versionID="1138bfe49d0e152f1169ae111dc5ecb4">
  <xsd:schema xmlns:xsd="http://www.w3.org/2001/XMLSchema" xmlns:xs="http://www.w3.org/2001/XMLSchema" xmlns:p="http://schemas.microsoft.com/office/2006/metadata/properties" xmlns:ns2="8e9a8bac-6399-41e0-ae29-be0bac219712" xmlns:ns3="0e2bac63-7935-4451-9bf4-ebd134ce4d3a" targetNamespace="http://schemas.microsoft.com/office/2006/metadata/properties" ma:root="true" ma:fieldsID="64b345e4a905996984665cacf4db4a14" ns2:_="" ns3:_="">
    <xsd:import namespace="8e9a8bac-6399-41e0-ae29-be0bac219712"/>
    <xsd:import namespace="0e2bac63-7935-4451-9bf4-ebd134ce4d3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TaxCatchAll" minOccurs="0"/>
                <xsd:element ref="ns2:lcf76f155ced4ddcb4097134ff3c332f"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9a8bac-6399-41e0-ae29-be0bac2197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858a10be-0e10-4ce7-b105-4832767749d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2bac63-7935-4451-9bf4-ebd134ce4d3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e76510-9397-41dc-9934-fa59ec3e18be}" ma:internalName="TaxCatchAll" ma:showField="CatchAllData" ma:web="0e2bac63-7935-4451-9bf4-ebd134ce4d3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0e2bac63-7935-4451-9bf4-ebd134ce4d3a" xsi:nil="true"/>
    <lcf76f155ced4ddcb4097134ff3c332f xmlns="8e9a8bac-6399-41e0-ae29-be0bac21971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A0048C-2381-489B-AA07-9611017176EA}">
  <ds:schemaRefs/>
</ds:datastoreItem>
</file>

<file path=customXml/itemProps2.xml><?xml version="1.0" encoding="utf-8"?>
<ds:datastoreItem xmlns:ds="http://schemas.openxmlformats.org/officeDocument/2006/customXml" ds:itemID="{7C3E4627-36E2-45BE-AFEC-2EBB7B10547A}"/>
</file>

<file path=customXml/itemProps3.xml><?xml version="1.0" encoding="utf-8"?>
<ds:datastoreItem xmlns:ds="http://schemas.openxmlformats.org/officeDocument/2006/customXml" ds:itemID="{9B5B467B-968F-4ADA-8F2A-BA76BA30870E}"/>
</file>

<file path=customXml/itemProps4.xml><?xml version="1.0" encoding="utf-8"?>
<ds:datastoreItem xmlns:ds="http://schemas.openxmlformats.org/officeDocument/2006/customXml" ds:itemID="{4F40C1B7-D26A-4E96-BEE2-9D26536686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Revision History</vt:lpstr>
      <vt:lpstr>MARS-321-176GTM-TN-SWIR</vt:lpstr>
      <vt:lpstr>MARS-533-134GTM-TN-SWIR</vt:lpstr>
      <vt:lpstr>MARS-561-207GTX</vt:lpstr>
      <vt:lpstr>MARS-900-120GTX</vt:lpstr>
      <vt:lpstr>MARS-1261-90GTX</vt:lpstr>
      <vt:lpstr>MARS-1610-52GTX</vt:lpstr>
      <vt:lpstr>MARS-1840-63GTX</vt:lpstr>
      <vt:lpstr>MARS-2020-42GTX</vt:lpstr>
      <vt:lpstr>MARS-2440-35GTX</vt:lpstr>
      <vt:lpstr>MARS-2621-24GTX</vt:lpstr>
      <vt:lpstr>MARS-5000-24GTX</vt:lpstr>
      <vt:lpstr>MARS-6500-18GTX</vt:lpstr>
      <vt:lpstr>MARS-280-409GTX</vt:lpstr>
      <vt:lpstr>MARS-170-662GTX</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dh</cp:lastModifiedBy>
  <dcterms:created xsi:type="dcterms:W3CDTF">2022-11-14T05:33:00Z</dcterms:created>
  <dcterms:modified xsi:type="dcterms:W3CDTF">2024-11-15T02:59:24Z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B85455079ED840F59AE4BA51F5544240</vt:lpwstr>
  </property>
  <property fmtid="{D5CDD505-2E9C-101B-9397-08002B2CF9AE}" pid="3" name="KSOProductBuildVer">
    <vt:lpwstr>2052-11.1.0.14309</vt:lpwstr>
  </property>
  <property fmtid="{D5CDD505-2E9C-101B-9397-08002B2CF9AE}" pid="4" name="ContentTypeId">
    <vt:lpwstr>0x01010018B1D4FD92196841803EE860CCD88BE3</vt:lpwstr>
  </property>
</Properties>
</file>